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7.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8.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9.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0.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1.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2.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3.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4.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5.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6.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7.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8.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9.xml" ContentType="application/vnd.openxmlformats-officedocument.drawing+xml"/>
  <Override PartName="/xl/drawings/drawing20.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1.xml" ContentType="application/vnd.openxmlformats-officedocument.drawing+xml"/>
  <Override PartName="/xl/drawings/drawing22.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chart22.xml" ContentType="application/vnd.openxmlformats-officedocument.drawingml.chart+xml"/>
  <Override PartName="/xl/charts/style21.xml" ContentType="application/vnd.ms-office.chartstyle+xml"/>
  <Override PartName="/xl/charts/colors21.xml" ContentType="application/vnd.ms-office.chartcolorstyle+xml"/>
  <Override PartName="/xl/charts/chart23.xml" ContentType="application/vnd.openxmlformats-officedocument.drawingml.chart+xml"/>
  <Override PartName="/xl/charts/style22.xml" ContentType="application/vnd.ms-office.chartstyle+xml"/>
  <Override PartName="/xl/charts/colors22.xml" ContentType="application/vnd.ms-office.chartcolorstyle+xml"/>
  <Override PartName="/xl/charts/chart24.xml" ContentType="application/vnd.openxmlformats-officedocument.drawingml.chart+xml"/>
  <Override PartName="/xl/charts/style23.xml" ContentType="application/vnd.ms-office.chartstyle+xml"/>
  <Override PartName="/xl/charts/colors23.xml" ContentType="application/vnd.ms-office.chartcolorstyle+xml"/>
  <Override PartName="/xl/charts/chart25.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3"/>
  <workbookPr filterPrivacy="1" codeName="ThisWorkbook"/>
  <xr:revisionPtr revIDLastSave="0" documentId="8_{23854360-5AD9-7445-8C56-B61C49809273}" xr6:coauthVersionLast="47" xr6:coauthVersionMax="47" xr10:uidLastSave="{00000000-0000-0000-0000-000000000000}"/>
  <workbookProtection workbookAlgorithmName="SHA-512" workbookHashValue="bkAoVUSPiS/Fr9l0linjIC61UKtGmiqhhwopVtBovyY5fZitDhtYqqqRamAeiYE4s++TXM/+D/RTXgiNxfwKPQ==" workbookSaltValue="JKbtuXv6gT8J3bHeBsZBtw==" workbookSpinCount="100000" lockStructure="1"/>
  <bookViews>
    <workbookView xWindow="0" yWindow="760" windowWidth="29400" windowHeight="18880" tabRatio="842" activeTab="1" xr2:uid="{00000000-000D-0000-FFFF-FFFF00000000}"/>
  </bookViews>
  <sheets>
    <sheet name="Deckblatt" sheetId="16" r:id="rId1"/>
    <sheet name="Roter Faden" sheetId="34" r:id="rId2"/>
    <sheet name="0" sheetId="41" r:id="rId3"/>
    <sheet name="1" sheetId="20" r:id="rId4"/>
    <sheet name="2" sheetId="23" r:id="rId5"/>
    <sheet name="3" sheetId="24" r:id="rId6"/>
    <sheet name="4" sheetId="25" r:id="rId7"/>
    <sheet name="5" sheetId="26" r:id="rId8"/>
    <sheet name="6" sheetId="27" r:id="rId9"/>
    <sheet name="7" sheetId="28" r:id="rId10"/>
    <sheet name="8" sheetId="30" r:id="rId11"/>
    <sheet name="9" sheetId="31" r:id="rId12"/>
    <sheet name="10" sheetId="33" r:id="rId13"/>
    <sheet name="11" sheetId="35" r:id="rId14"/>
    <sheet name="12" sheetId="37" r:id="rId15"/>
    <sheet name="13" sheetId="38" r:id="rId16"/>
    <sheet name="14" sheetId="43" r:id="rId17"/>
    <sheet name="15" sheetId="42" r:id="rId18"/>
    <sheet name="Cockpit" sheetId="9" r:id="rId19"/>
    <sheet name="Bankgespräch" sheetId="15" r:id="rId20"/>
    <sheet name="Kennzahlen im Verlauf" sheetId="10" r:id="rId21"/>
    <sheet name="Diagramme" sheetId="11" r:id="rId22"/>
    <sheet name="Konfiguration" sheetId="14" r:id="rId23"/>
    <sheet name="Haushaltsrechnung" sheetId="17" r:id="rId24"/>
    <sheet name="Vermögensaufstellung" sheetId="18" r:id="rId25"/>
    <sheet name="calc_rf" sheetId="40" state="hidden" r:id="rId26"/>
    <sheet name="cnfg_rf" sheetId="36" state="hidden" r:id="rId27"/>
    <sheet name="txt_rf" sheetId="44" state="hidden" r:id="rId28"/>
    <sheet name="ekst_rf" sheetId="39" state="hidden" r:id="rId29"/>
  </sheets>
  <definedNames>
    <definedName name="_xlnm.Print_Area" localSheetId="2">'0'!$A$1:$R$24</definedName>
    <definedName name="_xlnm.Print_Area" localSheetId="3">'1'!$A$1:$R$21</definedName>
    <definedName name="_xlnm.Print_Area" localSheetId="12">'10'!$A$1:$R$20</definedName>
    <definedName name="_xlnm.Print_Area" localSheetId="13">'11'!$A$1:$R$23</definedName>
    <definedName name="_xlnm.Print_Area" localSheetId="14">'12'!$A$1:$R$22</definedName>
    <definedName name="_xlnm.Print_Area" localSheetId="15">'13'!$A$1:$S$33</definedName>
    <definedName name="_xlnm.Print_Area" localSheetId="16">'14'!$A$1:$S$26</definedName>
    <definedName name="_xlnm.Print_Area" localSheetId="17">'15'!$A$1:$S$28</definedName>
    <definedName name="_xlnm.Print_Area" localSheetId="4">'2'!$A$1:$R$24</definedName>
    <definedName name="_xlnm.Print_Area" localSheetId="5">'3'!$A$1:$R$23</definedName>
    <definedName name="_xlnm.Print_Area" localSheetId="6">'4'!$A$1:$R$20</definedName>
    <definedName name="_xlnm.Print_Area" localSheetId="7">'5'!$A$1:$R$18</definedName>
    <definedName name="_xlnm.Print_Area" localSheetId="8">'6'!$A$1:$R$20</definedName>
    <definedName name="_xlnm.Print_Area" localSheetId="9">'7'!$A$1:$R$21</definedName>
    <definedName name="_xlnm.Print_Area" localSheetId="10">'8'!$A$1:$R$18</definedName>
    <definedName name="_xlnm.Print_Area" localSheetId="11">'9'!$A$1:$R$22</definedName>
    <definedName name="_xlnm.Print_Area" localSheetId="19">Bankgespräch!$A$5:$L$55</definedName>
    <definedName name="_xlnm.Print_Area" localSheetId="18">Cockpit!$A$5:$U$47</definedName>
    <definedName name="_xlnm.Print_Area" localSheetId="0">Deckblatt!$B$6:$M$43</definedName>
    <definedName name="_xlnm.Print_Area" localSheetId="21">Diagramme!$A$5:$S$106</definedName>
    <definedName name="_xlnm.Print_Area" localSheetId="23">Haushaltsrechnung!$B$6:$P$51</definedName>
    <definedName name="_xlnm.Print_Area" localSheetId="20">'Kennzahlen im Verlauf'!$A$11:$BB$77</definedName>
    <definedName name="_xlnm.Print_Area" localSheetId="22">Konfiguration!$A$5:$F$13</definedName>
    <definedName name="_xlnm.Print_Area" localSheetId="1">'Roter Faden'!$A$1:$R$30</definedName>
    <definedName name="_xlnm.Print_Area" localSheetId="24">Vermögensaufstellung!$B$6:$P$39</definedName>
    <definedName name="_xlnm.Print_Titles" localSheetId="20">'Kennzahlen im Verlauf'!$A:$C</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2" i="14" l="1"/>
  <c r="C11" i="14"/>
  <c r="B16" i="20"/>
  <c r="P6" i="36"/>
  <c r="C9" i="9" l="1"/>
  <c r="E10" i="23"/>
  <c r="E14" i="41"/>
  <c r="C10" i="9" s="1"/>
  <c r="E18" i="44"/>
  <c r="C18" i="40" l="1"/>
  <c r="C9" i="40"/>
  <c r="B9" i="40" s="1"/>
  <c r="B12" i="30" l="1"/>
  <c r="C14" i="40" l="1"/>
  <c r="E11" i="9"/>
  <c r="B10" i="40" l="1"/>
  <c r="B11" i="40"/>
  <c r="C19" i="40"/>
  <c r="E7" i="39"/>
  <c r="C7" i="39"/>
  <c r="E9" i="39" l="1"/>
  <c r="E14" i="39" s="1"/>
  <c r="E16" i="39" s="1"/>
  <c r="C9" i="39"/>
  <c r="C22" i="39" l="1"/>
  <c r="C24" i="39" s="1"/>
  <c r="C27" i="39" s="1"/>
  <c r="C14" i="39"/>
  <c r="E22" i="39"/>
  <c r="E24" i="39" s="1"/>
  <c r="E18" i="39"/>
  <c r="E30" i="39" s="1"/>
  <c r="E17" i="39"/>
  <c r="X6" i="36"/>
  <c r="X18" i="36" s="1"/>
  <c r="Y6" i="36"/>
  <c r="Y18" i="36" s="1"/>
  <c r="Z6" i="36"/>
  <c r="Z18" i="36" s="1"/>
  <c r="N6" i="36"/>
  <c r="N18" i="36" s="1"/>
  <c r="L6" i="36"/>
  <c r="L18" i="36" s="1"/>
  <c r="O6" i="36"/>
  <c r="O18" i="36" s="1"/>
  <c r="W6" i="36"/>
  <c r="W18" i="36" s="1"/>
  <c r="V6" i="36"/>
  <c r="V18" i="36" s="1"/>
  <c r="U6" i="36"/>
  <c r="U18" i="36" s="1"/>
  <c r="T6" i="36"/>
  <c r="T18" i="36" s="1"/>
  <c r="S6" i="36"/>
  <c r="S18" i="36" s="1"/>
  <c r="R6" i="36"/>
  <c r="R18" i="36" s="1"/>
  <c r="Q6" i="36"/>
  <c r="Q18" i="36" s="1"/>
  <c r="P18" i="36"/>
  <c r="M6" i="36"/>
  <c r="M18" i="36" s="1"/>
  <c r="K6" i="36"/>
  <c r="K18" i="36" s="1"/>
  <c r="I6" i="36"/>
  <c r="I18" i="36" s="1"/>
  <c r="J6" i="36"/>
  <c r="J18" i="36" l="1"/>
  <c r="E26" i="39"/>
  <c r="E28" i="39" s="1"/>
  <c r="C18" i="39"/>
  <c r="C16" i="39"/>
  <c r="C17" i="39"/>
  <c r="C28" i="39"/>
  <c r="C26" i="39"/>
  <c r="E27" i="39" l="1"/>
  <c r="E31" i="39"/>
  <c r="E33" i="39" s="1"/>
  <c r="E35" i="39" s="1"/>
  <c r="E37" i="39" s="1"/>
  <c r="C31" i="39"/>
  <c r="C30" i="39"/>
  <c r="C26" i="9"/>
  <c r="E26" i="9" s="1"/>
  <c r="C25" i="9"/>
  <c r="E25" i="9" s="1"/>
  <c r="C33" i="39" l="1"/>
  <c r="C35" i="39" s="1"/>
  <c r="C37" i="39" s="1"/>
  <c r="C39" i="39" s="1"/>
  <c r="E14" i="37" s="1"/>
  <c r="H12" i="36" l="1"/>
  <c r="F24" i="36" s="1"/>
  <c r="G24" i="36" s="1"/>
  <c r="H9" i="36"/>
  <c r="F21" i="36" s="1"/>
  <c r="G21" i="36" s="1"/>
  <c r="H8" i="36"/>
  <c r="F20" i="36" s="1"/>
  <c r="G20" i="36" s="1"/>
  <c r="H10" i="36"/>
  <c r="F22" i="36" s="1"/>
  <c r="G22" i="36" s="1"/>
  <c r="H11" i="36"/>
  <c r="F23" i="36" s="1"/>
  <c r="G23" i="36" s="1"/>
  <c r="H7" i="36"/>
  <c r="Q33" i="9"/>
  <c r="T33" i="9" s="1"/>
  <c r="E14" i="35"/>
  <c r="H15" i="9" s="1"/>
  <c r="F19" i="36" l="1"/>
  <c r="G19" i="36" s="1"/>
  <c r="E8" i="44"/>
  <c r="E7" i="44"/>
  <c r="E13" i="44"/>
  <c r="E12" i="44"/>
  <c r="C11" i="9"/>
  <c r="C15" i="40" l="1"/>
  <c r="C20" i="40"/>
  <c r="K24" i="9" l="1"/>
  <c r="H21" i="9"/>
  <c r="H20" i="9"/>
  <c r="N19" i="9" l="1"/>
  <c r="N18" i="9"/>
  <c r="N16" i="9"/>
  <c r="D20" i="9" l="1"/>
  <c r="D18" i="9"/>
  <c r="D17" i="9"/>
  <c r="D16" i="9"/>
  <c r="D19" i="9"/>
  <c r="H9" i="9" l="1"/>
  <c r="M11" i="11" s="1"/>
  <c r="D14" i="9"/>
  <c r="D15" i="9" l="1"/>
  <c r="D29" i="15" s="1"/>
  <c r="N17" i="9"/>
  <c r="N9" i="9" l="1"/>
  <c r="N11" i="9" s="1"/>
  <c r="E10" i="25"/>
  <c r="D10" i="11"/>
  <c r="B6" i="11"/>
  <c r="C8" i="15"/>
  <c r="Q21" i="9" l="1"/>
  <c r="G35" i="15"/>
  <c r="N12" i="9"/>
  <c r="D49" i="10"/>
  <c r="D47" i="10"/>
  <c r="Q22" i="9" l="1"/>
  <c r="D12" i="14" s="1"/>
  <c r="G34" i="15"/>
  <c r="D53" i="10"/>
  <c r="D54" i="10" s="1"/>
  <c r="D65" i="10"/>
  <c r="D50" i="10"/>
  <c r="E47" i="10"/>
  <c r="F47" i="10" s="1"/>
  <c r="G47" i="10" s="1"/>
  <c r="H47" i="10" s="1"/>
  <c r="I47" i="10" s="1"/>
  <c r="J47" i="10" s="1"/>
  <c r="K47" i="10" s="1"/>
  <c r="L47" i="10" s="1"/>
  <c r="M47" i="10" s="1"/>
  <c r="N47" i="10" s="1"/>
  <c r="O47" i="10" s="1"/>
  <c r="P47" i="10" s="1"/>
  <c r="Q47" i="10" s="1"/>
  <c r="R47" i="10" s="1"/>
  <c r="S47" i="10" s="1"/>
  <c r="T47" i="10" s="1"/>
  <c r="U47" i="10" s="1"/>
  <c r="V47" i="10" s="1"/>
  <c r="W47" i="10" s="1"/>
  <c r="X47" i="10" s="1"/>
  <c r="Y47" i="10" s="1"/>
  <c r="Z47" i="10" s="1"/>
  <c r="AA47" i="10" s="1"/>
  <c r="AB47" i="10" s="1"/>
  <c r="AC47" i="10" s="1"/>
  <c r="AD47" i="10" s="1"/>
  <c r="AE47" i="10" s="1"/>
  <c r="AF47" i="10" s="1"/>
  <c r="AG47" i="10" s="1"/>
  <c r="AH47" i="10" s="1"/>
  <c r="AI47" i="10" s="1"/>
  <c r="AJ47" i="10" s="1"/>
  <c r="AK47" i="10" s="1"/>
  <c r="AL47" i="10" s="1"/>
  <c r="AM47" i="10" s="1"/>
  <c r="AN47" i="10" s="1"/>
  <c r="AO47" i="10" s="1"/>
  <c r="AP47" i="10" s="1"/>
  <c r="AQ47" i="10" s="1"/>
  <c r="AR47" i="10" s="1"/>
  <c r="AS47" i="10" s="1"/>
  <c r="AT47" i="10" s="1"/>
  <c r="AU47" i="10" s="1"/>
  <c r="AV47" i="10" s="1"/>
  <c r="AW47" i="10" s="1"/>
  <c r="AX47" i="10" s="1"/>
  <c r="AY47" i="10" s="1"/>
  <c r="AZ47" i="10" s="1"/>
  <c r="BA47" i="10" s="1"/>
  <c r="BB47" i="10" s="1"/>
  <c r="D8" i="10"/>
  <c r="E11" i="14" l="1"/>
  <c r="D11" i="14"/>
  <c r="E12" i="14"/>
  <c r="BC47" i="10"/>
  <c r="D58" i="10"/>
  <c r="E8" i="10"/>
  <c r="D56" i="10"/>
  <c r="D59" i="10" s="1"/>
  <c r="K45" i="9"/>
  <c r="K28" i="9" s="1"/>
  <c r="K37" i="9"/>
  <c r="K20" i="9" s="1"/>
  <c r="K21" i="9" s="1"/>
  <c r="K9" i="9" s="1"/>
  <c r="D9" i="10" s="1"/>
  <c r="E9" i="10" s="1"/>
  <c r="F9" i="10" s="1"/>
  <c r="G9" i="10" s="1"/>
  <c r="H9" i="10" s="1"/>
  <c r="I9" i="10" s="1"/>
  <c r="J9" i="10" s="1"/>
  <c r="K9" i="10" s="1"/>
  <c r="L9" i="10" s="1"/>
  <c r="M9" i="10" s="1"/>
  <c r="N9" i="10" s="1"/>
  <c r="O9" i="10" s="1"/>
  <c r="P9" i="10" s="1"/>
  <c r="Q9" i="10" s="1"/>
  <c r="R9" i="10" s="1"/>
  <c r="S9" i="10" s="1"/>
  <c r="T9" i="10" s="1"/>
  <c r="U9" i="10" s="1"/>
  <c r="V9" i="10" s="1"/>
  <c r="W9" i="10" s="1"/>
  <c r="X9" i="10" s="1"/>
  <c r="Y9" i="10" s="1"/>
  <c r="Z9" i="10" s="1"/>
  <c r="AA9" i="10" s="1"/>
  <c r="AB9" i="10" s="1"/>
  <c r="AC9" i="10" s="1"/>
  <c r="AD9" i="10" s="1"/>
  <c r="AE9" i="10" s="1"/>
  <c r="AF9" i="10" s="1"/>
  <c r="AG9" i="10" s="1"/>
  <c r="AH9" i="10" s="1"/>
  <c r="AI9" i="10" s="1"/>
  <c r="AJ9" i="10" s="1"/>
  <c r="AK9" i="10" s="1"/>
  <c r="AL9" i="10" s="1"/>
  <c r="AM9" i="10" s="1"/>
  <c r="AN9" i="10" s="1"/>
  <c r="AO9" i="10" s="1"/>
  <c r="AP9" i="10" s="1"/>
  <c r="AQ9" i="10" s="1"/>
  <c r="AR9" i="10" s="1"/>
  <c r="AS9" i="10" s="1"/>
  <c r="AT9" i="10" s="1"/>
  <c r="AU9" i="10" s="1"/>
  <c r="AV9" i="10" s="1"/>
  <c r="AW9" i="10" s="1"/>
  <c r="AX9" i="10" s="1"/>
  <c r="AY9" i="10" s="1"/>
  <c r="AZ9" i="10" s="1"/>
  <c r="BA9" i="10" s="1"/>
  <c r="BB9" i="10" s="1"/>
  <c r="BC9" i="10" s="1"/>
  <c r="BD9" i="10" s="1"/>
  <c r="BE9" i="10" s="1"/>
  <c r="BF9" i="10" s="1"/>
  <c r="BG9" i="10" s="1"/>
  <c r="BH9" i="10" s="1"/>
  <c r="BI9" i="10" s="1"/>
  <c r="BJ9" i="10" s="1"/>
  <c r="BK9" i="10" s="1"/>
  <c r="BL9" i="10" s="1"/>
  <c r="BM9" i="10" s="1"/>
  <c r="BN9" i="10" s="1"/>
  <c r="BO9" i="10" s="1"/>
  <c r="BP9" i="10" s="1"/>
  <c r="BQ9" i="10" s="1"/>
  <c r="BR9" i="10" s="1"/>
  <c r="BS9" i="10" s="1"/>
  <c r="BT9" i="10" s="1"/>
  <c r="BU9" i="10" s="1"/>
  <c r="BV9" i="10" s="1"/>
  <c r="BW9" i="10" s="1"/>
  <c r="BX9" i="10" s="1"/>
  <c r="BY9" i="10" s="1"/>
  <c r="BZ9" i="10" s="1"/>
  <c r="CA9" i="10" s="1"/>
  <c r="CB9" i="10" s="1"/>
  <c r="CC9" i="10" s="1"/>
  <c r="CD9" i="10" s="1"/>
  <c r="CE9" i="10" s="1"/>
  <c r="CF9" i="10" s="1"/>
  <c r="CG9" i="10" s="1"/>
  <c r="CH9" i="10" s="1"/>
  <c r="K15" i="9"/>
  <c r="BD47" i="10" l="1"/>
  <c r="D10" i="10"/>
  <c r="F8" i="10"/>
  <c r="E10" i="10"/>
  <c r="I10" i="11"/>
  <c r="BE47" i="10" l="1"/>
  <c r="F10" i="10"/>
  <c r="G8" i="10"/>
  <c r="D22" i="10"/>
  <c r="BF47" i="10" l="1"/>
  <c r="H8" i="10"/>
  <c r="G10" i="10"/>
  <c r="E22" i="10"/>
  <c r="D13" i="10"/>
  <c r="D7" i="10" s="1"/>
  <c r="BG47" i="10" l="1"/>
  <c r="I8" i="10"/>
  <c r="H10" i="10"/>
  <c r="F22" i="10"/>
  <c r="D62" i="10"/>
  <c r="D77" i="10" s="1"/>
  <c r="D28" i="10"/>
  <c r="D45" i="10"/>
  <c r="E13" i="10"/>
  <c r="E7" i="10" s="1"/>
  <c r="BH47" i="10" l="1"/>
  <c r="J8" i="10"/>
  <c r="I10" i="10"/>
  <c r="D20" i="10"/>
  <c r="G22" i="10"/>
  <c r="E45" i="10"/>
  <c r="F13" i="10"/>
  <c r="F7" i="10" s="1"/>
  <c r="E28" i="10"/>
  <c r="E62" i="10"/>
  <c r="E77" i="10" s="1"/>
  <c r="BI47" i="10" l="1"/>
  <c r="BJ47" i="10" s="1"/>
  <c r="BK47" i="10" s="1"/>
  <c r="BL47" i="10" s="1"/>
  <c r="BM47" i="10" s="1"/>
  <c r="BN47" i="10" s="1"/>
  <c r="BO47" i="10" s="1"/>
  <c r="BP47" i="10" s="1"/>
  <c r="K8" i="10"/>
  <c r="J10" i="10"/>
  <c r="E20" i="10"/>
  <c r="H22" i="10"/>
  <c r="G13" i="10"/>
  <c r="G7" i="10" s="1"/>
  <c r="F45" i="10"/>
  <c r="F28" i="10"/>
  <c r="F62" i="10"/>
  <c r="F77" i="10" s="1"/>
  <c r="BQ47" i="10" l="1"/>
  <c r="K10" i="10"/>
  <c r="L8" i="10"/>
  <c r="F20" i="10"/>
  <c r="I22" i="10"/>
  <c r="H13" i="10"/>
  <c r="H7" i="10" s="1"/>
  <c r="G62" i="10"/>
  <c r="G77" i="10" s="1"/>
  <c r="G28" i="10"/>
  <c r="G45" i="10"/>
  <c r="H33" i="18"/>
  <c r="H37" i="18" s="1"/>
  <c r="H25" i="18"/>
  <c r="H36" i="18" s="1"/>
  <c r="I45" i="17"/>
  <c r="I49" i="17" s="1"/>
  <c r="H49" i="17" s="1"/>
  <c r="H44" i="17"/>
  <c r="H43" i="17"/>
  <c r="H42" i="17"/>
  <c r="H41" i="17"/>
  <c r="H40" i="17"/>
  <c r="H39" i="17"/>
  <c r="H38" i="17"/>
  <c r="H37" i="17"/>
  <c r="H36" i="17"/>
  <c r="H35" i="17"/>
  <c r="H34" i="17"/>
  <c r="H33" i="17"/>
  <c r="H32" i="17"/>
  <c r="H31" i="17"/>
  <c r="H30" i="17"/>
  <c r="H29" i="17"/>
  <c r="I26" i="17"/>
  <c r="I48" i="17" s="1"/>
  <c r="H25" i="17"/>
  <c r="H24" i="17"/>
  <c r="H23" i="17"/>
  <c r="H22" i="17"/>
  <c r="H21" i="17"/>
  <c r="H20" i="17"/>
  <c r="H19" i="17"/>
  <c r="H18" i="17"/>
  <c r="BR47" i="10" l="1"/>
  <c r="L10" i="10"/>
  <c r="M8" i="10"/>
  <c r="G20" i="10"/>
  <c r="J22" i="10"/>
  <c r="I13" i="10"/>
  <c r="I7" i="10" s="1"/>
  <c r="H62" i="10"/>
  <c r="H77" i="10" s="1"/>
  <c r="H45" i="10"/>
  <c r="H28" i="10"/>
  <c r="H45" i="17"/>
  <c r="H38" i="18"/>
  <c r="I50" i="17"/>
  <c r="H50" i="17" s="1"/>
  <c r="H48" i="17"/>
  <c r="H26" i="17"/>
  <c r="BS47" i="10" l="1"/>
  <c r="N8" i="10"/>
  <c r="M10" i="10"/>
  <c r="H20" i="10"/>
  <c r="K22" i="10"/>
  <c r="J13" i="10"/>
  <c r="J7" i="10" s="1"/>
  <c r="I45" i="10"/>
  <c r="I62" i="10"/>
  <c r="I77" i="10" s="1"/>
  <c r="I28" i="10"/>
  <c r="BT47" i="10" l="1"/>
  <c r="N10" i="10"/>
  <c r="O8" i="10"/>
  <c r="I20" i="10"/>
  <c r="L22" i="10"/>
  <c r="K13" i="10"/>
  <c r="K7" i="10" s="1"/>
  <c r="J45" i="10"/>
  <c r="J28" i="10"/>
  <c r="J62" i="10"/>
  <c r="J77" i="10" s="1"/>
  <c r="BU47" i="10" l="1"/>
  <c r="P8" i="10"/>
  <c r="O10" i="10"/>
  <c r="J20" i="10"/>
  <c r="M22" i="10"/>
  <c r="L13" i="10"/>
  <c r="L7" i="10" s="1"/>
  <c r="K62" i="10"/>
  <c r="K77" i="10" s="1"/>
  <c r="K28" i="10"/>
  <c r="K45" i="10"/>
  <c r="BV47" i="10" l="1"/>
  <c r="Q8" i="10"/>
  <c r="P10" i="10"/>
  <c r="K20" i="10"/>
  <c r="N22" i="10"/>
  <c r="M13" i="10"/>
  <c r="M7" i="10" s="1"/>
  <c r="L62" i="10"/>
  <c r="L77" i="10" s="1"/>
  <c r="L45" i="10"/>
  <c r="L28" i="10"/>
  <c r="E29" i="9"/>
  <c r="D14" i="10" s="1"/>
  <c r="BW47" i="10" l="1"/>
  <c r="R8" i="10"/>
  <c r="Q10" i="10"/>
  <c r="D16" i="10"/>
  <c r="L20" i="10"/>
  <c r="O22" i="10"/>
  <c r="N13" i="10"/>
  <c r="N7" i="10" s="1"/>
  <c r="M45" i="10"/>
  <c r="M62" i="10"/>
  <c r="M77" i="10" s="1"/>
  <c r="M28" i="10"/>
  <c r="E30" i="9"/>
  <c r="BX47" i="10" l="1"/>
  <c r="R10" i="10"/>
  <c r="S8" i="10"/>
  <c r="D17" i="10"/>
  <c r="E14" i="10" s="1"/>
  <c r="E16" i="10" s="1"/>
  <c r="M20" i="10"/>
  <c r="P22" i="10"/>
  <c r="O13" i="10"/>
  <c r="O7" i="10" s="1"/>
  <c r="N45" i="10"/>
  <c r="N28" i="10"/>
  <c r="N62" i="10"/>
  <c r="N77" i="10" s="1"/>
  <c r="T10" i="9"/>
  <c r="BY47" i="10" l="1"/>
  <c r="T8" i="10"/>
  <c r="S10" i="10"/>
  <c r="E17" i="10"/>
  <c r="F14" i="10" s="1"/>
  <c r="F16" i="10" s="1"/>
  <c r="N20" i="10"/>
  <c r="Q22" i="10"/>
  <c r="P13" i="10"/>
  <c r="P7" i="10" s="1"/>
  <c r="O62" i="10"/>
  <c r="O77" i="10" s="1"/>
  <c r="O28" i="10"/>
  <c r="O45" i="10"/>
  <c r="BZ47" i="10" l="1"/>
  <c r="T10" i="10"/>
  <c r="U8" i="10"/>
  <c r="F17" i="10"/>
  <c r="G14" i="10" s="1"/>
  <c r="O20" i="10"/>
  <c r="H10" i="9"/>
  <c r="R22" i="10"/>
  <c r="Q13" i="10"/>
  <c r="Q7" i="10" s="1"/>
  <c r="P62" i="10"/>
  <c r="P77" i="10" s="1"/>
  <c r="P45" i="10"/>
  <c r="P28" i="10"/>
  <c r="CA47" i="10" l="1"/>
  <c r="V8" i="10"/>
  <c r="U10" i="10"/>
  <c r="G16" i="10"/>
  <c r="G17" i="10" s="1"/>
  <c r="H14" i="10" s="1"/>
  <c r="P20" i="10"/>
  <c r="S22" i="10"/>
  <c r="R13" i="10"/>
  <c r="R7" i="10" s="1"/>
  <c r="Q45" i="10"/>
  <c r="Q62" i="10"/>
  <c r="Q77" i="10" s="1"/>
  <c r="Q28" i="10"/>
  <c r="CB47" i="10" l="1"/>
  <c r="V10" i="10"/>
  <c r="W8" i="10"/>
  <c r="H16" i="10"/>
  <c r="H17" i="10" s="1"/>
  <c r="I14" i="10" s="1"/>
  <c r="I16" i="10" s="1"/>
  <c r="Q20" i="10"/>
  <c r="T22" i="10"/>
  <c r="S13" i="10"/>
  <c r="S7" i="10" s="1"/>
  <c r="R45" i="10"/>
  <c r="R28" i="10"/>
  <c r="R62" i="10"/>
  <c r="R77" i="10" s="1"/>
  <c r="G30" i="15"/>
  <c r="G29" i="15"/>
  <c r="D33" i="15"/>
  <c r="D28" i="15"/>
  <c r="I8" i="15"/>
  <c r="CC47" i="10" l="1"/>
  <c r="X8" i="10"/>
  <c r="W10" i="10"/>
  <c r="I17" i="10"/>
  <c r="J14" i="10" s="1"/>
  <c r="R20" i="10"/>
  <c r="U22" i="10"/>
  <c r="T13" i="10"/>
  <c r="T7" i="10" s="1"/>
  <c r="S62" i="10"/>
  <c r="S77" i="10" s="1"/>
  <c r="S28" i="10"/>
  <c r="S45" i="10"/>
  <c r="G28" i="15"/>
  <c r="CD47" i="10" l="1"/>
  <c r="Y8" i="10"/>
  <c r="X10" i="10"/>
  <c r="J16" i="10"/>
  <c r="S20" i="10"/>
  <c r="V22" i="10"/>
  <c r="U13" i="10"/>
  <c r="U7" i="10" s="1"/>
  <c r="T62" i="10"/>
  <c r="T77" i="10" s="1"/>
  <c r="T45" i="10"/>
  <c r="T28" i="10"/>
  <c r="G33" i="15"/>
  <c r="I11" i="11"/>
  <c r="F12" i="14"/>
  <c r="F11" i="14"/>
  <c r="F10" i="14"/>
  <c r="F9" i="14"/>
  <c r="F8" i="14"/>
  <c r="CE47" i="10" l="1"/>
  <c r="Y10" i="10"/>
  <c r="Z8" i="10"/>
  <c r="J17" i="10"/>
  <c r="K14" i="10" s="1"/>
  <c r="T20" i="10"/>
  <c r="W22" i="10"/>
  <c r="V13" i="10"/>
  <c r="V7" i="10" s="1"/>
  <c r="U45" i="10"/>
  <c r="U28" i="10"/>
  <c r="U62" i="10"/>
  <c r="U77" i="10" s="1"/>
  <c r="N14" i="11"/>
  <c r="N15" i="11"/>
  <c r="CF47" i="10" l="1"/>
  <c r="Z10" i="10"/>
  <c r="AA8" i="10"/>
  <c r="K16" i="10"/>
  <c r="U20" i="10"/>
  <c r="X22" i="10"/>
  <c r="W13" i="10"/>
  <c r="W7" i="10" s="1"/>
  <c r="V45" i="10"/>
  <c r="V28" i="10"/>
  <c r="V62" i="10"/>
  <c r="V77" i="10" s="1"/>
  <c r="CG47" i="10" l="1"/>
  <c r="AB8" i="10"/>
  <c r="AA10" i="10"/>
  <c r="K17" i="10"/>
  <c r="L14" i="10" s="1"/>
  <c r="V20" i="10"/>
  <c r="Y22" i="10"/>
  <c r="Z22" i="10" s="1"/>
  <c r="AA22" i="10" s="1"/>
  <c r="X13" i="10"/>
  <c r="X7" i="10" s="1"/>
  <c r="W62" i="10"/>
  <c r="W77" i="10" s="1"/>
  <c r="W28" i="10"/>
  <c r="W45" i="10"/>
  <c r="CH47" i="10" l="1"/>
  <c r="AB10" i="10"/>
  <c r="AC8" i="10"/>
  <c r="L16" i="10"/>
  <c r="W20" i="10"/>
  <c r="Y13" i="10"/>
  <c r="Y7" i="10" s="1"/>
  <c r="X62" i="10"/>
  <c r="X77" i="10" s="1"/>
  <c r="X45" i="10"/>
  <c r="X28" i="10"/>
  <c r="AD8" i="10" l="1"/>
  <c r="AC10" i="10"/>
  <c r="L17" i="10"/>
  <c r="M14" i="10" s="1"/>
  <c r="X20" i="10"/>
  <c r="Z13" i="10"/>
  <c r="Z7" i="10" s="1"/>
  <c r="Y45" i="10"/>
  <c r="Y62" i="10"/>
  <c r="Y77" i="10" s="1"/>
  <c r="Y28" i="10"/>
  <c r="AD10" i="10" l="1"/>
  <c r="AE8" i="10"/>
  <c r="M16" i="10"/>
  <c r="Y20" i="10"/>
  <c r="AB22" i="10"/>
  <c r="AA13" i="10"/>
  <c r="AA7" i="10" s="1"/>
  <c r="Z45" i="10"/>
  <c r="Z28" i="10"/>
  <c r="Z62" i="10"/>
  <c r="Z77" i="10" s="1"/>
  <c r="AF8" i="10" l="1"/>
  <c r="AE10" i="10"/>
  <c r="M17" i="10"/>
  <c r="N14" i="10" s="1"/>
  <c r="Z20" i="10"/>
  <c r="AC22" i="10"/>
  <c r="AB13" i="10"/>
  <c r="AB7" i="10" s="1"/>
  <c r="AA62" i="10"/>
  <c r="AA77" i="10" s="1"/>
  <c r="AA28" i="10"/>
  <c r="AA45" i="10"/>
  <c r="AG8" i="10" l="1"/>
  <c r="AF10" i="10"/>
  <c r="N16" i="10"/>
  <c r="AA20" i="10"/>
  <c r="AD22" i="10"/>
  <c r="AC13" i="10"/>
  <c r="AC7" i="10" s="1"/>
  <c r="AB62" i="10"/>
  <c r="AB77" i="10" s="1"/>
  <c r="AB45" i="10"/>
  <c r="AB28" i="10"/>
  <c r="D30" i="10"/>
  <c r="E30" i="10" s="1"/>
  <c r="AH8" i="10" l="1"/>
  <c r="AG10" i="10"/>
  <c r="N17" i="10"/>
  <c r="O14" i="10" s="1"/>
  <c r="AB20" i="10"/>
  <c r="AE22" i="10"/>
  <c r="AD13" i="10"/>
  <c r="AD7" i="10" s="1"/>
  <c r="AC45" i="10"/>
  <c r="AC62" i="10"/>
  <c r="AC77" i="10" s="1"/>
  <c r="AC28" i="10"/>
  <c r="F30" i="10"/>
  <c r="G30" i="10" s="1"/>
  <c r="H30" i="10" s="1"/>
  <c r="I30" i="10" s="1"/>
  <c r="J30" i="10" s="1"/>
  <c r="K30" i="10" s="1"/>
  <c r="L30" i="10" s="1"/>
  <c r="M30" i="10" s="1"/>
  <c r="N30" i="10" s="1"/>
  <c r="O30" i="10" s="1"/>
  <c r="P30" i="10" s="1"/>
  <c r="Q30" i="10" s="1"/>
  <c r="R30" i="10" s="1"/>
  <c r="S30" i="10" s="1"/>
  <c r="T30" i="10" s="1"/>
  <c r="U30" i="10" s="1"/>
  <c r="V30" i="10" s="1"/>
  <c r="W30" i="10" s="1"/>
  <c r="X30" i="10" s="1"/>
  <c r="Y30" i="10" s="1"/>
  <c r="Z30" i="10" s="1"/>
  <c r="AA30" i="10" s="1"/>
  <c r="AB30" i="10" s="1"/>
  <c r="AC30" i="10" s="1"/>
  <c r="AD30" i="10" s="1"/>
  <c r="AE30" i="10" s="1"/>
  <c r="AF30" i="10" s="1"/>
  <c r="AG30" i="10" s="1"/>
  <c r="AH30" i="10" s="1"/>
  <c r="AI30" i="10" s="1"/>
  <c r="AJ30" i="10" s="1"/>
  <c r="AK30" i="10" s="1"/>
  <c r="AL30" i="10" s="1"/>
  <c r="AM30" i="10" s="1"/>
  <c r="AN30" i="10" s="1"/>
  <c r="AO30" i="10" s="1"/>
  <c r="AP30" i="10" s="1"/>
  <c r="AQ30" i="10" s="1"/>
  <c r="AR30" i="10" s="1"/>
  <c r="AS30" i="10" s="1"/>
  <c r="AT30" i="10" s="1"/>
  <c r="AU30" i="10" s="1"/>
  <c r="AV30" i="10" s="1"/>
  <c r="AW30" i="10" s="1"/>
  <c r="AX30" i="10" s="1"/>
  <c r="AY30" i="10" s="1"/>
  <c r="AZ30" i="10" s="1"/>
  <c r="BA30" i="10" s="1"/>
  <c r="BB30" i="10" s="1"/>
  <c r="BC30" i="10" s="1"/>
  <c r="BD30" i="10" s="1"/>
  <c r="BE30" i="10" s="1"/>
  <c r="BF30" i="10" s="1"/>
  <c r="BG30" i="10" s="1"/>
  <c r="BH30" i="10" s="1"/>
  <c r="BI30" i="10" s="1"/>
  <c r="BJ30" i="10" s="1"/>
  <c r="BK30" i="10" s="1"/>
  <c r="BL30" i="10" s="1"/>
  <c r="BM30" i="10" s="1"/>
  <c r="BN30" i="10" s="1"/>
  <c r="BO30" i="10" s="1"/>
  <c r="BP30" i="10" s="1"/>
  <c r="BQ30" i="10" s="1"/>
  <c r="BR30" i="10" s="1"/>
  <c r="BS30" i="10" s="1"/>
  <c r="BT30" i="10" s="1"/>
  <c r="BU30" i="10" s="1"/>
  <c r="BV30" i="10" s="1"/>
  <c r="BW30" i="10" s="1"/>
  <c r="BX30" i="10" s="1"/>
  <c r="BY30" i="10" s="1"/>
  <c r="BZ30" i="10" s="1"/>
  <c r="CA30" i="10" s="1"/>
  <c r="CB30" i="10" s="1"/>
  <c r="CC30" i="10" s="1"/>
  <c r="CD30" i="10" s="1"/>
  <c r="CE30" i="10" s="1"/>
  <c r="CF30" i="10" s="1"/>
  <c r="CG30" i="10" s="1"/>
  <c r="CH30" i="10" s="1"/>
  <c r="AH10" i="10" l="1"/>
  <c r="AI8" i="10"/>
  <c r="O16" i="10"/>
  <c r="AC20" i="10"/>
  <c r="AF22" i="10"/>
  <c r="AE13" i="10"/>
  <c r="AE7" i="10" s="1"/>
  <c r="AD45" i="10"/>
  <c r="AD28" i="10"/>
  <c r="AD62" i="10"/>
  <c r="AD77" i="10" s="1"/>
  <c r="AJ8" i="10" l="1"/>
  <c r="AI10" i="10"/>
  <c r="O17" i="10"/>
  <c r="P14" i="10" s="1"/>
  <c r="AD20" i="10"/>
  <c r="AG22" i="10"/>
  <c r="AF13" i="10"/>
  <c r="AF7" i="10" s="1"/>
  <c r="AE62" i="10"/>
  <c r="AE77" i="10" s="1"/>
  <c r="AE28" i="10"/>
  <c r="AE45" i="10"/>
  <c r="E49" i="10"/>
  <c r="E65" i="10" s="1"/>
  <c r="C29" i="9"/>
  <c r="D12" i="11" s="1"/>
  <c r="K26" i="9"/>
  <c r="D21" i="9"/>
  <c r="E20" i="9"/>
  <c r="E19" i="9"/>
  <c r="N27" i="9"/>
  <c r="E18" i="9"/>
  <c r="E17" i="9"/>
  <c r="E16" i="9"/>
  <c r="Q13" i="9"/>
  <c r="C16" i="40"/>
  <c r="C17" i="40" s="1"/>
  <c r="C21" i="40" s="1"/>
  <c r="Q15" i="9" l="1"/>
  <c r="Q14" i="9"/>
  <c r="AK8" i="10"/>
  <c r="AJ10" i="10"/>
  <c r="E50" i="10"/>
  <c r="P16" i="10"/>
  <c r="AE20" i="10"/>
  <c r="AH22" i="10"/>
  <c r="AG13" i="10"/>
  <c r="AG7" i="10" s="1"/>
  <c r="AF62" i="10"/>
  <c r="AF77" i="10" s="1"/>
  <c r="AF45" i="10"/>
  <c r="AF28" i="10"/>
  <c r="E13" i="20"/>
  <c r="H11" i="9"/>
  <c r="K27" i="9" s="1"/>
  <c r="D35" i="15"/>
  <c r="J28" i="15"/>
  <c r="I43" i="15"/>
  <c r="J33" i="15"/>
  <c r="D32" i="10"/>
  <c r="D63" i="10" s="1"/>
  <c r="E21" i="9"/>
  <c r="E12" i="24" s="1"/>
  <c r="E14" i="24" s="1"/>
  <c r="N20" i="9"/>
  <c r="N13" i="9" s="1"/>
  <c r="E8" i="26" l="1"/>
  <c r="D11" i="11"/>
  <c r="E20" i="23"/>
  <c r="AL8" i="10"/>
  <c r="AK10" i="10"/>
  <c r="E53" i="10"/>
  <c r="K29" i="9"/>
  <c r="E9" i="44" s="1"/>
  <c r="E10" i="44" s="1"/>
  <c r="P17" i="10"/>
  <c r="Q14" i="10" s="1"/>
  <c r="AF20" i="10"/>
  <c r="AI22" i="10"/>
  <c r="AH13" i="10"/>
  <c r="AH7" i="10" s="1"/>
  <c r="AG45" i="10"/>
  <c r="AG62" i="10"/>
  <c r="AG77" i="10" s="1"/>
  <c r="AG28" i="10"/>
  <c r="D15" i="10"/>
  <c r="D64" i="10"/>
  <c r="D33" i="10"/>
  <c r="D67" i="10" s="1"/>
  <c r="D34" i="15"/>
  <c r="D36" i="15" s="1"/>
  <c r="D36" i="10"/>
  <c r="D71" i="10" s="1"/>
  <c r="E33" i="9"/>
  <c r="N10" i="9" s="1"/>
  <c r="C8" i="40" s="1"/>
  <c r="Q19" i="9"/>
  <c r="M10" i="11" s="1"/>
  <c r="J30" i="15"/>
  <c r="J29" i="15"/>
  <c r="G13" i="20" l="1"/>
  <c r="E12" i="26"/>
  <c r="F7" i="36"/>
  <c r="G7" i="36" s="1"/>
  <c r="K10" i="9"/>
  <c r="N12" i="11"/>
  <c r="E12" i="35"/>
  <c r="H16" i="9"/>
  <c r="AL10" i="10"/>
  <c r="AM8" i="10"/>
  <c r="E54" i="10"/>
  <c r="E58" i="10"/>
  <c r="E56" i="10"/>
  <c r="E59" i="10" s="1"/>
  <c r="Q16" i="10"/>
  <c r="AG20" i="10"/>
  <c r="AJ22" i="10"/>
  <c r="AI13" i="10"/>
  <c r="AI7" i="10" s="1"/>
  <c r="AH45" i="10"/>
  <c r="AH28" i="10"/>
  <c r="AH62" i="10"/>
  <c r="AH77" i="10" s="1"/>
  <c r="D41" i="10"/>
  <c r="Q30" i="9"/>
  <c r="J45" i="15"/>
  <c r="J35" i="15"/>
  <c r="Q28" i="9"/>
  <c r="J36" i="15"/>
  <c r="J46" i="15"/>
  <c r="D39" i="10"/>
  <c r="D74" i="10" s="1"/>
  <c r="D37" i="10"/>
  <c r="D69" i="10"/>
  <c r="D68" i="10"/>
  <c r="H17" i="9" l="1"/>
  <c r="D21" i="10" s="1"/>
  <c r="D23" i="10" s="1"/>
  <c r="H22" i="9"/>
  <c r="K11" i="9"/>
  <c r="I34" i="15" s="1"/>
  <c r="Q16" i="9"/>
  <c r="C30" i="9"/>
  <c r="AN8" i="10"/>
  <c r="AM10" i="10"/>
  <c r="F49" i="10"/>
  <c r="F65" i="10" s="1"/>
  <c r="D75" i="10"/>
  <c r="E32" i="10"/>
  <c r="Q17" i="10"/>
  <c r="R14" i="10" s="1"/>
  <c r="AH20" i="10"/>
  <c r="D72" i="10"/>
  <c r="AK22" i="10"/>
  <c r="AJ13" i="10"/>
  <c r="AJ7" i="10" s="1"/>
  <c r="AI62" i="10"/>
  <c r="AI77" i="10" s="1"/>
  <c r="AI28" i="10"/>
  <c r="AI45" i="10"/>
  <c r="D42" i="10"/>
  <c r="D76" i="10" s="1"/>
  <c r="K12" i="9"/>
  <c r="T29" i="9" s="1"/>
  <c r="I12" i="11"/>
  <c r="G38" i="15"/>
  <c r="E21" i="10" l="1"/>
  <c r="F21" i="10" s="1"/>
  <c r="G21" i="10" s="1"/>
  <c r="H21" i="10" s="1"/>
  <c r="I21" i="10" s="1"/>
  <c r="J21" i="10" s="1"/>
  <c r="K21" i="10" s="1"/>
  <c r="L21" i="10" s="1"/>
  <c r="M21" i="10" s="1"/>
  <c r="N21" i="10" s="1"/>
  <c r="O21" i="10" s="1"/>
  <c r="P21" i="10" s="1"/>
  <c r="Q21" i="10" s="1"/>
  <c r="R21" i="10" s="1"/>
  <c r="S21" i="10" s="1"/>
  <c r="T21" i="10" s="1"/>
  <c r="U21" i="10" s="1"/>
  <c r="V21" i="10" s="1"/>
  <c r="W21" i="10" s="1"/>
  <c r="X21" i="10" s="1"/>
  <c r="Y21" i="10" s="1"/>
  <c r="Z21" i="10" s="1"/>
  <c r="AA21" i="10" s="1"/>
  <c r="AB21" i="10" s="1"/>
  <c r="AC21" i="10" s="1"/>
  <c r="AD21" i="10" s="1"/>
  <c r="AE21" i="10" s="1"/>
  <c r="AF21" i="10" s="1"/>
  <c r="AG21" i="10" s="1"/>
  <c r="AH21" i="10" s="1"/>
  <c r="AI21" i="10" s="1"/>
  <c r="AJ21" i="10" s="1"/>
  <c r="AK21" i="10" s="1"/>
  <c r="AL21" i="10" s="1"/>
  <c r="AM21" i="10" s="1"/>
  <c r="AN21" i="10" s="1"/>
  <c r="AO21" i="10" s="1"/>
  <c r="AP21" i="10" s="1"/>
  <c r="AQ21" i="10" s="1"/>
  <c r="AR21" i="10" s="1"/>
  <c r="AS21" i="10" s="1"/>
  <c r="AT21" i="10" s="1"/>
  <c r="AU21" i="10" s="1"/>
  <c r="AV21" i="10" s="1"/>
  <c r="AW21" i="10" s="1"/>
  <c r="AX21" i="10" s="1"/>
  <c r="AY21" i="10" s="1"/>
  <c r="AZ21" i="10" s="1"/>
  <c r="BA21" i="10" s="1"/>
  <c r="BB21" i="10" s="1"/>
  <c r="BC21" i="10" s="1"/>
  <c r="BD21" i="10" s="1"/>
  <c r="BE21" i="10" s="1"/>
  <c r="F50" i="10"/>
  <c r="F53" i="10" s="1"/>
  <c r="AO8" i="10"/>
  <c r="AN10" i="10"/>
  <c r="E63" i="10"/>
  <c r="E15" i="10" s="1"/>
  <c r="E64" i="10"/>
  <c r="Q29" i="9"/>
  <c r="E33" i="10"/>
  <c r="R16" i="10"/>
  <c r="AI20" i="10"/>
  <c r="AL22" i="10"/>
  <c r="AK13" i="10"/>
  <c r="AK7" i="10" s="1"/>
  <c r="AJ62" i="10"/>
  <c r="AJ77" i="10" s="1"/>
  <c r="AJ45" i="10"/>
  <c r="AJ28" i="10"/>
  <c r="Q20" i="9"/>
  <c r="N13" i="11" s="1"/>
  <c r="D25" i="10" l="1"/>
  <c r="E23" i="10" s="1"/>
  <c r="E24" i="10" s="1"/>
  <c r="D24" i="10"/>
  <c r="BF21" i="10"/>
  <c r="AP8" i="10"/>
  <c r="AO10" i="10"/>
  <c r="E67" i="10"/>
  <c r="E68" i="10" s="1"/>
  <c r="F54" i="10"/>
  <c r="F58" i="10"/>
  <c r="F56" i="10"/>
  <c r="F59" i="10" s="1"/>
  <c r="E36" i="10"/>
  <c r="R17" i="10"/>
  <c r="S14" i="10" s="1"/>
  <c r="AJ20" i="10"/>
  <c r="AM22" i="10"/>
  <c r="AL13" i="10"/>
  <c r="AL7" i="10" s="1"/>
  <c r="AK45" i="10"/>
  <c r="AK28" i="10"/>
  <c r="AK62" i="10"/>
  <c r="AK77" i="10" s="1"/>
  <c r="Q23" i="9"/>
  <c r="F9" i="36" l="1"/>
  <c r="G9" i="36" s="1"/>
  <c r="Q31" i="9"/>
  <c r="E16" i="35"/>
  <c r="E25" i="10"/>
  <c r="F23" i="10" s="1"/>
  <c r="F24" i="10" s="1"/>
  <c r="BG21" i="10"/>
  <c r="AP10" i="10"/>
  <c r="AQ8" i="10"/>
  <c r="E37" i="10"/>
  <c r="E71" i="10"/>
  <c r="E72" i="10" s="1"/>
  <c r="E69" i="10"/>
  <c r="E41" i="10"/>
  <c r="E39" i="10"/>
  <c r="E74" i="10" s="1"/>
  <c r="S16" i="10"/>
  <c r="AK20" i="10"/>
  <c r="AN22" i="10"/>
  <c r="AM13" i="10"/>
  <c r="AM7" i="10" s="1"/>
  <c r="AL45" i="10"/>
  <c r="AL28" i="10"/>
  <c r="AL62" i="10"/>
  <c r="AL77" i="10" s="1"/>
  <c r="G49" i="10"/>
  <c r="G65" i="10" s="1"/>
  <c r="Q32" i="9" l="1"/>
  <c r="Q34" i="9" s="1"/>
  <c r="E14" i="44" s="1"/>
  <c r="E15" i="44" s="1"/>
  <c r="I16" i="37"/>
  <c r="F25" i="10"/>
  <c r="G23" i="10" s="1"/>
  <c r="G24" i="10" s="1"/>
  <c r="BH21" i="10"/>
  <c r="AR8" i="10"/>
  <c r="AQ10" i="10"/>
  <c r="E75" i="10"/>
  <c r="F32" i="10"/>
  <c r="E42" i="10"/>
  <c r="E76" i="10" s="1"/>
  <c r="G50" i="10"/>
  <c r="T13" i="9"/>
  <c r="T14" i="9" s="1"/>
  <c r="S17" i="10"/>
  <c r="T14" i="10" s="1"/>
  <c r="AL20" i="10"/>
  <c r="AO22" i="10"/>
  <c r="AP22" i="10" s="1"/>
  <c r="AN13" i="10"/>
  <c r="AN7" i="10" s="1"/>
  <c r="AM62" i="10"/>
  <c r="AM77" i="10" s="1"/>
  <c r="AM28" i="10"/>
  <c r="AM45" i="10"/>
  <c r="I14" i="37" l="1"/>
  <c r="E16" i="37"/>
  <c r="Q24" i="9"/>
  <c r="N16" i="11" s="1"/>
  <c r="I17" i="37"/>
  <c r="G25" i="10"/>
  <c r="H23" i="10" s="1"/>
  <c r="H24" i="10" s="1"/>
  <c r="BI21" i="10"/>
  <c r="AS8" i="10"/>
  <c r="AR10" i="10"/>
  <c r="F63" i="10"/>
  <c r="F15" i="10" s="1"/>
  <c r="F64" i="10"/>
  <c r="F33" i="10"/>
  <c r="G53" i="10"/>
  <c r="T16" i="10"/>
  <c r="AM20" i="10"/>
  <c r="AO13" i="10"/>
  <c r="AO7" i="10" s="1"/>
  <c r="AN62" i="10"/>
  <c r="AN77" i="10" s="1"/>
  <c r="AN45" i="10"/>
  <c r="AN28" i="10"/>
  <c r="Q25" i="9" l="1"/>
  <c r="BJ21" i="10"/>
  <c r="AS10" i="10"/>
  <c r="AT8" i="10"/>
  <c r="F67" i="10"/>
  <c r="F68" i="10" s="1"/>
  <c r="F36" i="10"/>
  <c r="G54" i="10"/>
  <c r="G58" i="10"/>
  <c r="G56" i="10"/>
  <c r="G59" i="10" s="1"/>
  <c r="T17" i="10"/>
  <c r="U14" i="10" s="1"/>
  <c r="AN20" i="10"/>
  <c r="H25" i="10"/>
  <c r="AQ22" i="10"/>
  <c r="AP13" i="10"/>
  <c r="AP7" i="10" s="1"/>
  <c r="AO45" i="10"/>
  <c r="AO62" i="10"/>
  <c r="AO77" i="10" s="1"/>
  <c r="AO28" i="10"/>
  <c r="Q9" i="9" l="1"/>
  <c r="F10" i="36"/>
  <c r="G10" i="36" s="1"/>
  <c r="BK21" i="10"/>
  <c r="AU8" i="10"/>
  <c r="AT10" i="10"/>
  <c r="F41" i="10"/>
  <c r="G32" i="10" s="1"/>
  <c r="F71" i="10"/>
  <c r="F72" i="10" s="1"/>
  <c r="F69" i="10"/>
  <c r="F37" i="10"/>
  <c r="F39" i="10"/>
  <c r="F74" i="10" s="1"/>
  <c r="U16" i="10"/>
  <c r="AO20" i="10"/>
  <c r="I23" i="10"/>
  <c r="I24" i="10" s="1"/>
  <c r="AR22" i="10"/>
  <c r="AQ13" i="10"/>
  <c r="AQ7" i="10" s="1"/>
  <c r="AP45" i="10"/>
  <c r="AP28" i="10"/>
  <c r="AP62" i="10"/>
  <c r="AP77" i="10" s="1"/>
  <c r="H49" i="10"/>
  <c r="H65" i="10" s="1"/>
  <c r="Q10" i="9" l="1"/>
  <c r="Q38" i="9" s="1"/>
  <c r="Q37" i="9"/>
  <c r="BL21" i="10"/>
  <c r="AU10" i="10"/>
  <c r="AV8" i="10"/>
  <c r="F75" i="10"/>
  <c r="G63" i="10"/>
  <c r="G15" i="10" s="1"/>
  <c r="G64" i="10"/>
  <c r="F42" i="10"/>
  <c r="F76" i="10" s="1"/>
  <c r="H50" i="10"/>
  <c r="U17" i="10"/>
  <c r="V14" i="10" s="1"/>
  <c r="AP20" i="10"/>
  <c r="I25" i="10"/>
  <c r="J23" i="10" s="1"/>
  <c r="J24" i="10" s="1"/>
  <c r="AS22" i="10"/>
  <c r="AR13" i="10"/>
  <c r="AR7" i="10" s="1"/>
  <c r="AQ62" i="10"/>
  <c r="AQ77" i="10" s="1"/>
  <c r="AQ28" i="10"/>
  <c r="AQ45" i="10"/>
  <c r="G33" i="10"/>
  <c r="G67" i="10" s="1"/>
  <c r="G68" i="10" s="1"/>
  <c r="BM21" i="10" l="1"/>
  <c r="AV10" i="10"/>
  <c r="AW8" i="10"/>
  <c r="G69" i="10"/>
  <c r="H53" i="10"/>
  <c r="V16" i="10"/>
  <c r="AQ20" i="10"/>
  <c r="J25" i="10"/>
  <c r="AT22" i="10"/>
  <c r="AS13" i="10"/>
  <c r="AS7" i="10" s="1"/>
  <c r="AR62" i="10"/>
  <c r="AR77" i="10" s="1"/>
  <c r="AR45" i="10"/>
  <c r="AR28" i="10"/>
  <c r="G36" i="10"/>
  <c r="G71" i="10" s="1"/>
  <c r="G72" i="10" s="1"/>
  <c r="BN21" i="10" l="1"/>
  <c r="AW10" i="10"/>
  <c r="AX8" i="10"/>
  <c r="H54" i="10"/>
  <c r="H58" i="10"/>
  <c r="H56" i="10"/>
  <c r="H59" i="10" s="1"/>
  <c r="V17" i="10"/>
  <c r="W14" i="10" s="1"/>
  <c r="AR20" i="10"/>
  <c r="K23" i="10"/>
  <c r="K24" i="10" s="1"/>
  <c r="AU22" i="10"/>
  <c r="AT13" i="10"/>
  <c r="AT7" i="10" s="1"/>
  <c r="AS45" i="10"/>
  <c r="AS62" i="10"/>
  <c r="AS77" i="10" s="1"/>
  <c r="AS28" i="10"/>
  <c r="G41" i="10"/>
  <c r="G37" i="10"/>
  <c r="G39" i="10"/>
  <c r="G74" i="10" s="1"/>
  <c r="BO21" i="10" l="1"/>
  <c r="AY8" i="10"/>
  <c r="AX10" i="10"/>
  <c r="G75" i="10"/>
  <c r="W16" i="10"/>
  <c r="W17" i="10" s="1"/>
  <c r="X14" i="10" s="1"/>
  <c r="AS20" i="10"/>
  <c r="K25" i="10"/>
  <c r="AV22" i="10"/>
  <c r="AU13" i="10"/>
  <c r="AU7" i="10" s="1"/>
  <c r="AT45" i="10"/>
  <c r="AT28" i="10"/>
  <c r="AT62" i="10"/>
  <c r="AT77" i="10" s="1"/>
  <c r="I49" i="10"/>
  <c r="I65" i="10" s="1"/>
  <c r="H32" i="10"/>
  <c r="G42" i="10"/>
  <c r="G76" i="10" s="1"/>
  <c r="BP21" i="10" l="1"/>
  <c r="AZ8" i="10"/>
  <c r="AY10" i="10"/>
  <c r="H64" i="10"/>
  <c r="H63" i="10"/>
  <c r="H15" i="10" s="1"/>
  <c r="I50" i="10"/>
  <c r="T19" i="9"/>
  <c r="X16" i="10"/>
  <c r="AT20" i="10"/>
  <c r="L23" i="10"/>
  <c r="L24" i="10" s="1"/>
  <c r="AW22" i="10"/>
  <c r="AX22" i="10" s="1"/>
  <c r="AV13" i="10"/>
  <c r="AV7" i="10" s="1"/>
  <c r="AU62" i="10"/>
  <c r="AU77" i="10" s="1"/>
  <c r="AU28" i="10"/>
  <c r="AU45" i="10"/>
  <c r="H33" i="10"/>
  <c r="H67" i="10" s="1"/>
  <c r="H68" i="10" s="1"/>
  <c r="BQ21" i="10" l="1"/>
  <c r="AZ10" i="10"/>
  <c r="BA8" i="10"/>
  <c r="T20" i="9"/>
  <c r="T28" i="9"/>
  <c r="H69" i="10"/>
  <c r="I53" i="10"/>
  <c r="X17" i="10"/>
  <c r="Y14" i="10" s="1"/>
  <c r="AU20" i="10"/>
  <c r="L25" i="10"/>
  <c r="M23" i="10" s="1"/>
  <c r="M24" i="10" s="1"/>
  <c r="AW13" i="10"/>
  <c r="AW7" i="10" s="1"/>
  <c r="AV62" i="10"/>
  <c r="AV77" i="10" s="1"/>
  <c r="AV45" i="10"/>
  <c r="AV28" i="10"/>
  <c r="H36" i="10"/>
  <c r="H71" i="10" s="1"/>
  <c r="H72" i="10" s="1"/>
  <c r="BA10" i="10" l="1"/>
  <c r="BB8" i="10"/>
  <c r="BR21" i="10"/>
  <c r="I54" i="10"/>
  <c r="I58" i="10"/>
  <c r="I56" i="10"/>
  <c r="I59" i="10" s="1"/>
  <c r="Y16" i="10"/>
  <c r="AV20" i="10"/>
  <c r="M25" i="10"/>
  <c r="AY22" i="10"/>
  <c r="AX13" i="10"/>
  <c r="AX7" i="10" s="1"/>
  <c r="AW45" i="10"/>
  <c r="AW62" i="10"/>
  <c r="AW77" i="10" s="1"/>
  <c r="AW28" i="10"/>
  <c r="H41" i="10"/>
  <c r="H39" i="10"/>
  <c r="H74" i="10" s="1"/>
  <c r="H37" i="10"/>
  <c r="BC8" i="10" l="1"/>
  <c r="BB10" i="10"/>
  <c r="BS21" i="10"/>
  <c r="H75" i="10"/>
  <c r="Y17" i="10"/>
  <c r="Z14" i="10" s="1"/>
  <c r="AW20" i="10"/>
  <c r="N23" i="10"/>
  <c r="N24" i="10" s="1"/>
  <c r="AZ22" i="10"/>
  <c r="AY13" i="10"/>
  <c r="AY7" i="10" s="1"/>
  <c r="AX45" i="10"/>
  <c r="AX28" i="10"/>
  <c r="AX62" i="10"/>
  <c r="AX77" i="10" s="1"/>
  <c r="J49" i="10"/>
  <c r="J65" i="10" s="1"/>
  <c r="H42" i="10"/>
  <c r="H76" i="10" s="1"/>
  <c r="I32" i="10"/>
  <c r="BC10" i="10" l="1"/>
  <c r="BD8" i="10"/>
  <c r="BT21" i="10"/>
  <c r="I63" i="10"/>
  <c r="I15" i="10" s="1"/>
  <c r="I64" i="10"/>
  <c r="J50" i="10"/>
  <c r="Z16" i="10"/>
  <c r="AX20" i="10"/>
  <c r="N25" i="10"/>
  <c r="O23" i="10" s="1"/>
  <c r="O24" i="10" s="1"/>
  <c r="BA22" i="10"/>
  <c r="BB22" i="10" s="1"/>
  <c r="BC22" i="10" s="1"/>
  <c r="BD22" i="10" s="1"/>
  <c r="BE22" i="10" s="1"/>
  <c r="BF22" i="10" s="1"/>
  <c r="BG22" i="10" s="1"/>
  <c r="BH22" i="10" s="1"/>
  <c r="BI22" i="10" s="1"/>
  <c r="BJ22" i="10" s="1"/>
  <c r="BK22" i="10" s="1"/>
  <c r="BL22" i="10" s="1"/>
  <c r="BM22" i="10" s="1"/>
  <c r="BN22" i="10" s="1"/>
  <c r="BO22" i="10" s="1"/>
  <c r="BP22" i="10" s="1"/>
  <c r="BQ22" i="10" s="1"/>
  <c r="BR22" i="10" s="1"/>
  <c r="BS22" i="10" s="1"/>
  <c r="BT22" i="10" s="1"/>
  <c r="BU22" i="10" s="1"/>
  <c r="BV22" i="10" s="1"/>
  <c r="BW22" i="10" s="1"/>
  <c r="BX22" i="10" s="1"/>
  <c r="BY22" i="10" s="1"/>
  <c r="BZ22" i="10" s="1"/>
  <c r="CA22" i="10" s="1"/>
  <c r="CB22" i="10" s="1"/>
  <c r="CC22" i="10" s="1"/>
  <c r="CD22" i="10" s="1"/>
  <c r="CE22" i="10" s="1"/>
  <c r="CF22" i="10" s="1"/>
  <c r="CG22" i="10" s="1"/>
  <c r="CH22" i="10" s="1"/>
  <c r="AZ13" i="10"/>
  <c r="AZ7" i="10" s="1"/>
  <c r="AY62" i="10"/>
  <c r="AY77" i="10" s="1"/>
  <c r="AY28" i="10"/>
  <c r="AY45" i="10"/>
  <c r="I33" i="10"/>
  <c r="I67" i="10" s="1"/>
  <c r="I68" i="10" s="1"/>
  <c r="BE8" i="10" l="1"/>
  <c r="BD10" i="10"/>
  <c r="BU21" i="10"/>
  <c r="I69" i="10"/>
  <c r="J53" i="10"/>
  <c r="Z17" i="10"/>
  <c r="AA14" i="10" s="1"/>
  <c r="AY20" i="10"/>
  <c r="O25" i="10"/>
  <c r="BA13" i="10"/>
  <c r="AZ62" i="10"/>
  <c r="AZ77" i="10" s="1"/>
  <c r="AZ45" i="10"/>
  <c r="AZ28" i="10"/>
  <c r="I36" i="10"/>
  <c r="BA7" i="10" l="1"/>
  <c r="BB13" i="10"/>
  <c r="BF8" i="10"/>
  <c r="BE10" i="10"/>
  <c r="BV21" i="10"/>
  <c r="I71" i="10"/>
  <c r="I72" i="10" s="1"/>
  <c r="J54" i="10"/>
  <c r="J58" i="10"/>
  <c r="J56" i="10"/>
  <c r="J59" i="10" s="1"/>
  <c r="AA16" i="10"/>
  <c r="AZ20" i="10"/>
  <c r="P23" i="10"/>
  <c r="P24" i="10" s="1"/>
  <c r="I41" i="10"/>
  <c r="I75" i="10" s="1"/>
  <c r="BA45" i="10"/>
  <c r="BA28" i="10"/>
  <c r="BA62" i="10"/>
  <c r="BA77" i="10" s="1"/>
  <c r="I37" i="10"/>
  <c r="I39" i="10"/>
  <c r="I74" i="10" s="1"/>
  <c r="BC13" i="10" l="1"/>
  <c r="BB45" i="10"/>
  <c r="BB28" i="10"/>
  <c r="BB7" i="10"/>
  <c r="BB20" i="10" s="1"/>
  <c r="BB62" i="10"/>
  <c r="BB77" i="10" s="1"/>
  <c r="BF10" i="10"/>
  <c r="BG8" i="10"/>
  <c r="BW21" i="10"/>
  <c r="AA17" i="10"/>
  <c r="AB14" i="10" s="1"/>
  <c r="BA20" i="10"/>
  <c r="P25" i="10"/>
  <c r="Q23" i="10" s="1"/>
  <c r="K49" i="10"/>
  <c r="K65" i="10" s="1"/>
  <c r="I42" i="10"/>
  <c r="I76" i="10" s="1"/>
  <c r="J32" i="10"/>
  <c r="BD13" i="10" l="1"/>
  <c r="BC45" i="10"/>
  <c r="BC28" i="10"/>
  <c r="BC7" i="10"/>
  <c r="BC20" i="10" s="1"/>
  <c r="BC62" i="10"/>
  <c r="BC77" i="10" s="1"/>
  <c r="BH8" i="10"/>
  <c r="BG10" i="10"/>
  <c r="BX21" i="10"/>
  <c r="J63" i="10"/>
  <c r="J15" i="10" s="1"/>
  <c r="J64" i="10"/>
  <c r="K50" i="10"/>
  <c r="K53" i="10" s="1"/>
  <c r="K54" i="10" s="1"/>
  <c r="AB16" i="10"/>
  <c r="Q24" i="10"/>
  <c r="Q25" i="10"/>
  <c r="R23" i="10" s="1"/>
  <c r="R24" i="10" s="1"/>
  <c r="J33" i="10"/>
  <c r="J67" i="10" s="1"/>
  <c r="J68" i="10" s="1"/>
  <c r="BE13" i="10" l="1"/>
  <c r="BD62" i="10"/>
  <c r="BD77" i="10" s="1"/>
  <c r="BD45" i="10"/>
  <c r="BD28" i="10"/>
  <c r="BD7" i="10"/>
  <c r="BD20" i="10" s="1"/>
  <c r="BI8" i="10"/>
  <c r="BH10" i="10"/>
  <c r="BY21" i="10"/>
  <c r="J69" i="10"/>
  <c r="K58" i="10"/>
  <c r="K56" i="10"/>
  <c r="K59" i="10" s="1"/>
  <c r="AB17" i="10"/>
  <c r="AC14" i="10" s="1"/>
  <c r="R25" i="10"/>
  <c r="J36" i="10"/>
  <c r="J71" i="10" s="1"/>
  <c r="J72" i="10" s="1"/>
  <c r="BF13" i="10" l="1"/>
  <c r="BE28" i="10"/>
  <c r="BE62" i="10"/>
  <c r="BE77" i="10" s="1"/>
  <c r="BE45" i="10"/>
  <c r="BE7" i="10"/>
  <c r="BE20" i="10" s="1"/>
  <c r="BI10" i="10"/>
  <c r="BJ8" i="10"/>
  <c r="BZ21" i="10"/>
  <c r="AC16" i="10"/>
  <c r="S23" i="10"/>
  <c r="S24" i="10" s="1"/>
  <c r="J41" i="10"/>
  <c r="J37" i="10"/>
  <c r="J39" i="10"/>
  <c r="J74" i="10" s="1"/>
  <c r="BG13" i="10" l="1"/>
  <c r="BF45" i="10"/>
  <c r="BF28" i="10"/>
  <c r="BF7" i="10"/>
  <c r="BF20" i="10" s="1"/>
  <c r="BF62" i="10"/>
  <c r="BF77" i="10" s="1"/>
  <c r="BK8" i="10"/>
  <c r="BJ10" i="10"/>
  <c r="CA21" i="10"/>
  <c r="J75" i="10"/>
  <c r="AC17" i="10"/>
  <c r="AD14" i="10" s="1"/>
  <c r="S25" i="10"/>
  <c r="L49" i="10"/>
  <c r="L65" i="10" s="1"/>
  <c r="J42" i="10"/>
  <c r="J76" i="10" s="1"/>
  <c r="K32" i="10"/>
  <c r="BH13" i="10" l="1"/>
  <c r="BG45" i="10"/>
  <c r="BG28" i="10"/>
  <c r="BG7" i="10"/>
  <c r="BG20" i="10" s="1"/>
  <c r="BG62" i="10"/>
  <c r="BG77" i="10" s="1"/>
  <c r="BK10" i="10"/>
  <c r="BL8" i="10"/>
  <c r="CB21" i="10"/>
  <c r="K63" i="10"/>
  <c r="K15" i="10" s="1"/>
  <c r="K64" i="10"/>
  <c r="L50" i="10"/>
  <c r="L53" i="10" s="1"/>
  <c r="L54" i="10" s="1"/>
  <c r="AD16" i="10"/>
  <c r="T23" i="10"/>
  <c r="T24" i="10" s="1"/>
  <c r="K33" i="10"/>
  <c r="K67" i="10" s="1"/>
  <c r="K68" i="10" s="1"/>
  <c r="BI13" i="10" l="1"/>
  <c r="BH62" i="10"/>
  <c r="BH77" i="10" s="1"/>
  <c r="BH45" i="10"/>
  <c r="BH28" i="10"/>
  <c r="BH7" i="10"/>
  <c r="BH20" i="10" s="1"/>
  <c r="BM8" i="10"/>
  <c r="BL10" i="10"/>
  <c r="CC21" i="10"/>
  <c r="K69" i="10"/>
  <c r="L58" i="10"/>
  <c r="L56" i="10"/>
  <c r="L59" i="10" s="1"/>
  <c r="AD17" i="10"/>
  <c r="AE14" i="10" s="1"/>
  <c r="T25" i="10"/>
  <c r="U23" i="10" s="1"/>
  <c r="K36" i="10"/>
  <c r="K71" i="10" s="1"/>
  <c r="K72" i="10" s="1"/>
  <c r="BJ13" i="10" l="1"/>
  <c r="BI28" i="10"/>
  <c r="BI62" i="10"/>
  <c r="BI77" i="10" s="1"/>
  <c r="BI45" i="10"/>
  <c r="BI7" i="10"/>
  <c r="BI20" i="10" s="1"/>
  <c r="BM10" i="10"/>
  <c r="BN8" i="10"/>
  <c r="CD21" i="10"/>
  <c r="AE16" i="10"/>
  <c r="U24" i="10"/>
  <c r="U25" i="10"/>
  <c r="V23" i="10" s="1"/>
  <c r="V24" i="10" s="1"/>
  <c r="K41" i="10"/>
  <c r="K39" i="10"/>
  <c r="K74" i="10" s="1"/>
  <c r="K37" i="10"/>
  <c r="BK13" i="10" l="1"/>
  <c r="BJ45" i="10"/>
  <c r="BJ28" i="10"/>
  <c r="BJ7" i="10"/>
  <c r="BJ20" i="10" s="1"/>
  <c r="BJ62" i="10"/>
  <c r="BJ77" i="10" s="1"/>
  <c r="BN10" i="10"/>
  <c r="BO8" i="10"/>
  <c r="CE21" i="10"/>
  <c r="K75" i="10"/>
  <c r="AE17" i="10"/>
  <c r="AF14" i="10" s="1"/>
  <c r="V25" i="10"/>
  <c r="W23" i="10" s="1"/>
  <c r="M49" i="10"/>
  <c r="M65" i="10" s="1"/>
  <c r="K42" i="10"/>
  <c r="K76" i="10" s="1"/>
  <c r="L32" i="10"/>
  <c r="BL13" i="10" l="1"/>
  <c r="BK7" i="10"/>
  <c r="BK20" i="10" s="1"/>
  <c r="BK45" i="10"/>
  <c r="BK28" i="10"/>
  <c r="BK62" i="10"/>
  <c r="BK77" i="10" s="1"/>
  <c r="BP8" i="10"/>
  <c r="BO10" i="10"/>
  <c r="CF21" i="10"/>
  <c r="L64" i="10"/>
  <c r="L63" i="10"/>
  <c r="L15" i="10" s="1"/>
  <c r="M50" i="10"/>
  <c r="M53" i="10" s="1"/>
  <c r="M54" i="10" s="1"/>
  <c r="AF16" i="10"/>
  <c r="W24" i="10"/>
  <c r="W25" i="10"/>
  <c r="X23" i="10" s="1"/>
  <c r="X24" i="10" s="1"/>
  <c r="L33" i="10"/>
  <c r="L67" i="10" s="1"/>
  <c r="L68" i="10" s="1"/>
  <c r="BM13" i="10" l="1"/>
  <c r="BL62" i="10"/>
  <c r="BL77" i="10" s="1"/>
  <c r="BL45" i="10"/>
  <c r="BL28" i="10"/>
  <c r="BL7" i="10"/>
  <c r="BL20" i="10" s="1"/>
  <c r="BQ8" i="10"/>
  <c r="BP10" i="10"/>
  <c r="CG21" i="10"/>
  <c r="L69" i="10"/>
  <c r="M58" i="10"/>
  <c r="M56" i="10"/>
  <c r="M59" i="10" s="1"/>
  <c r="AF17" i="10"/>
  <c r="AG14" i="10" s="1"/>
  <c r="X25" i="10"/>
  <c r="Y23" i="10" s="1"/>
  <c r="Y24" i="10" s="1"/>
  <c r="L36" i="10"/>
  <c r="L71" i="10" s="1"/>
  <c r="L72" i="10" s="1"/>
  <c r="BN13" i="10" l="1"/>
  <c r="BM28" i="10"/>
  <c r="BM62" i="10"/>
  <c r="BM77" i="10" s="1"/>
  <c r="BM45" i="10"/>
  <c r="BM7" i="10"/>
  <c r="BM20" i="10" s="1"/>
  <c r="BQ10" i="10"/>
  <c r="BR8" i="10"/>
  <c r="CH21" i="10"/>
  <c r="AG16" i="10"/>
  <c r="Y25" i="10"/>
  <c r="L41" i="10"/>
  <c r="L37" i="10"/>
  <c r="L39" i="10"/>
  <c r="L74" i="10" s="1"/>
  <c r="BO13" i="10" l="1"/>
  <c r="BN45" i="10"/>
  <c r="BN28" i="10"/>
  <c r="BN7" i="10"/>
  <c r="BN20" i="10" s="1"/>
  <c r="BN62" i="10"/>
  <c r="BN77" i="10" s="1"/>
  <c r="BS8" i="10"/>
  <c r="BR10" i="10"/>
  <c r="L75" i="10"/>
  <c r="AG17" i="10"/>
  <c r="AH14" i="10" s="1"/>
  <c r="Z23" i="10"/>
  <c r="Z24" i="10" s="1"/>
  <c r="N49" i="10"/>
  <c r="N65" i="10" s="1"/>
  <c r="M32" i="10"/>
  <c r="L42" i="10"/>
  <c r="L76" i="10" s="1"/>
  <c r="BP13" i="10" l="1"/>
  <c r="BO45" i="10"/>
  <c r="BO28" i="10"/>
  <c r="BO7" i="10"/>
  <c r="BO20" i="10" s="1"/>
  <c r="BO62" i="10"/>
  <c r="BO77" i="10" s="1"/>
  <c r="BT8" i="10"/>
  <c r="BS10" i="10"/>
  <c r="M63" i="10"/>
  <c r="M15" i="10" s="1"/>
  <c r="M64" i="10"/>
  <c r="N50" i="10"/>
  <c r="N53" i="10" s="1"/>
  <c r="N54" i="10" s="1"/>
  <c r="AH16" i="10"/>
  <c r="Z25" i="10"/>
  <c r="AA23" i="10" s="1"/>
  <c r="AA24" i="10" s="1"/>
  <c r="M33" i="10"/>
  <c r="M67" i="10" s="1"/>
  <c r="M68" i="10" s="1"/>
  <c r="BQ13" i="10" l="1"/>
  <c r="BP62" i="10"/>
  <c r="BP77" i="10" s="1"/>
  <c r="BP45" i="10"/>
  <c r="BP28" i="10"/>
  <c r="BP7" i="10"/>
  <c r="BP20" i="10" s="1"/>
  <c r="BU8" i="10"/>
  <c r="BT10" i="10"/>
  <c r="M69" i="10"/>
  <c r="N58" i="10"/>
  <c r="N56" i="10"/>
  <c r="N59" i="10" s="1"/>
  <c r="AH17" i="10"/>
  <c r="AI14" i="10" s="1"/>
  <c r="AA25" i="10"/>
  <c r="AB23" i="10" s="1"/>
  <c r="AB24" i="10" s="1"/>
  <c r="M36" i="10"/>
  <c r="M71" i="10" s="1"/>
  <c r="M72" i="10" s="1"/>
  <c r="BR13" i="10" l="1"/>
  <c r="BQ62" i="10"/>
  <c r="BQ77" i="10" s="1"/>
  <c r="BQ45" i="10"/>
  <c r="BQ28" i="10"/>
  <c r="BQ7" i="10"/>
  <c r="BQ20" i="10" s="1"/>
  <c r="BU10" i="10"/>
  <c r="BV8" i="10"/>
  <c r="AI16" i="10"/>
  <c r="AB25" i="10"/>
  <c r="M41" i="10"/>
  <c r="M37" i="10"/>
  <c r="M39" i="10"/>
  <c r="M74" i="10" s="1"/>
  <c r="BS13" i="10" l="1"/>
  <c r="BR45" i="10"/>
  <c r="BR28" i="10"/>
  <c r="BR7" i="10"/>
  <c r="BR20" i="10" s="1"/>
  <c r="BR62" i="10"/>
  <c r="BR77" i="10" s="1"/>
  <c r="BV10" i="10"/>
  <c r="BW8" i="10"/>
  <c r="M75" i="10"/>
  <c r="AI17" i="10"/>
  <c r="AJ14" i="10" s="1"/>
  <c r="AC23" i="10"/>
  <c r="AC24" i="10" s="1"/>
  <c r="O49" i="10"/>
  <c r="O65" i="10" s="1"/>
  <c r="N32" i="10"/>
  <c r="M42" i="10"/>
  <c r="M76" i="10" s="1"/>
  <c r="BT13" i="10" l="1"/>
  <c r="BS7" i="10"/>
  <c r="BS20" i="10" s="1"/>
  <c r="BS45" i="10"/>
  <c r="BS28" i="10"/>
  <c r="BS62" i="10"/>
  <c r="BS77" i="10" s="1"/>
  <c r="BX8" i="10"/>
  <c r="BW10" i="10"/>
  <c r="N63" i="10"/>
  <c r="N64" i="10"/>
  <c r="O50" i="10"/>
  <c r="AJ16" i="10"/>
  <c r="AC25" i="10"/>
  <c r="N33" i="10"/>
  <c r="N67" i="10" s="1"/>
  <c r="N68" i="10" s="1"/>
  <c r="N15" i="10" l="1"/>
  <c r="BU13" i="10"/>
  <c r="BT62" i="10"/>
  <c r="BT77" i="10" s="1"/>
  <c r="BT45" i="10"/>
  <c r="BT28" i="10"/>
  <c r="BT7" i="10"/>
  <c r="BT20" i="10" s="1"/>
  <c r="BY8" i="10"/>
  <c r="BX10" i="10"/>
  <c r="N69" i="10"/>
  <c r="O53" i="10"/>
  <c r="AJ17" i="10"/>
  <c r="AK14" i="10" s="1"/>
  <c r="AD23" i="10"/>
  <c r="AD24" i="10" s="1"/>
  <c r="N36" i="10"/>
  <c r="N71" i="10" s="1"/>
  <c r="N72" i="10" s="1"/>
  <c r="BV13" i="10" l="1"/>
  <c r="BU45" i="10"/>
  <c r="BU7" i="10"/>
  <c r="BU20" i="10" s="1"/>
  <c r="BU62" i="10"/>
  <c r="BU77" i="10" s="1"/>
  <c r="BU28" i="10"/>
  <c r="BY10" i="10"/>
  <c r="BZ8" i="10"/>
  <c r="O54" i="10"/>
  <c r="O58" i="10"/>
  <c r="O56" i="10"/>
  <c r="O59" i="10" s="1"/>
  <c r="AK16" i="10"/>
  <c r="AD25" i="10"/>
  <c r="N41" i="10"/>
  <c r="N75" i="10" s="1"/>
  <c r="N37" i="10"/>
  <c r="N39" i="10"/>
  <c r="N74" i="10" s="1"/>
  <c r="BW13" i="10" l="1"/>
  <c r="BV45" i="10"/>
  <c r="BV28" i="10"/>
  <c r="BV7" i="10"/>
  <c r="BV20" i="10" s="1"/>
  <c r="BV62" i="10"/>
  <c r="BV77" i="10" s="1"/>
  <c r="CA8" i="10"/>
  <c r="BZ10" i="10"/>
  <c r="AK17" i="10"/>
  <c r="AL14" i="10" s="1"/>
  <c r="AE23" i="10"/>
  <c r="AE24" i="10" s="1"/>
  <c r="P49" i="10"/>
  <c r="P65" i="10" s="1"/>
  <c r="N42" i="10"/>
  <c r="N76" i="10" s="1"/>
  <c r="O32" i="10"/>
  <c r="BX13" i="10" l="1"/>
  <c r="BW45" i="10"/>
  <c r="BW28" i="10"/>
  <c r="BW7" i="10"/>
  <c r="BW20" i="10" s="1"/>
  <c r="BW62" i="10"/>
  <c r="BW77" i="10" s="1"/>
  <c r="CB8" i="10"/>
  <c r="CA10" i="10"/>
  <c r="O63" i="10"/>
  <c r="O15" i="10" s="1"/>
  <c r="O64" i="10"/>
  <c r="P50" i="10"/>
  <c r="AL16" i="10"/>
  <c r="AE25" i="10"/>
  <c r="O33" i="10"/>
  <c r="O67" i="10" s="1"/>
  <c r="O68" i="10" s="1"/>
  <c r="BY13" i="10" l="1"/>
  <c r="BX62" i="10"/>
  <c r="BX77" i="10" s="1"/>
  <c r="BX7" i="10"/>
  <c r="BX20" i="10" s="1"/>
  <c r="BX45" i="10"/>
  <c r="BX28" i="10"/>
  <c r="CC8" i="10"/>
  <c r="CB10" i="10"/>
  <c r="O69" i="10"/>
  <c r="P53" i="10"/>
  <c r="AL17" i="10"/>
  <c r="AM14" i="10" s="1"/>
  <c r="AF23" i="10"/>
  <c r="AF24" i="10" s="1"/>
  <c r="O36" i="10"/>
  <c r="O71" i="10" s="1"/>
  <c r="O72" i="10" s="1"/>
  <c r="BZ13" i="10" l="1"/>
  <c r="BY28" i="10"/>
  <c r="BY62" i="10"/>
  <c r="BY77" i="10" s="1"/>
  <c r="BY45" i="10"/>
  <c r="BY7" i="10"/>
  <c r="BY20" i="10" s="1"/>
  <c r="CC10" i="10"/>
  <c r="CD8" i="10"/>
  <c r="P54" i="10"/>
  <c r="P58" i="10"/>
  <c r="P56" i="10"/>
  <c r="P59" i="10" s="1"/>
  <c r="AM16" i="10"/>
  <c r="AF25" i="10"/>
  <c r="O41" i="10"/>
  <c r="O75" i="10" s="1"/>
  <c r="O37" i="10"/>
  <c r="O39" i="10"/>
  <c r="O74" i="10" s="1"/>
  <c r="BZ45" i="10" l="1"/>
  <c r="BZ28" i="10"/>
  <c r="BZ7" i="10"/>
  <c r="BZ20" i="10" s="1"/>
  <c r="CA13" i="10"/>
  <c r="BZ62" i="10"/>
  <c r="BZ77" i="10" s="1"/>
  <c r="CD10" i="10"/>
  <c r="CE8" i="10"/>
  <c r="AM17" i="10"/>
  <c r="AN14" i="10" s="1"/>
  <c r="AG23" i="10"/>
  <c r="AG24" i="10" s="1"/>
  <c r="Q49" i="10"/>
  <c r="Q65" i="10" s="1"/>
  <c r="P32" i="10"/>
  <c r="O42" i="10"/>
  <c r="O76" i="10" s="1"/>
  <c r="CB13" i="10" l="1"/>
  <c r="CA7" i="10"/>
  <c r="CA20" i="10" s="1"/>
  <c r="CA62" i="10"/>
  <c r="CA77" i="10" s="1"/>
  <c r="CA45" i="10"/>
  <c r="CA28" i="10"/>
  <c r="CF8" i="10"/>
  <c r="CE10" i="10"/>
  <c r="P64" i="10"/>
  <c r="P63" i="10"/>
  <c r="P15" i="10" s="1"/>
  <c r="Q50" i="10"/>
  <c r="AN16" i="10"/>
  <c r="AG25" i="10"/>
  <c r="P33" i="10"/>
  <c r="P67" i="10" s="1"/>
  <c r="P68" i="10" s="1"/>
  <c r="CC13" i="10" l="1"/>
  <c r="CB62" i="10"/>
  <c r="CB77" i="10" s="1"/>
  <c r="CB45" i="10"/>
  <c r="CB28" i="10"/>
  <c r="CB7" i="10"/>
  <c r="CB20" i="10" s="1"/>
  <c r="CG8" i="10"/>
  <c r="CF10" i="10"/>
  <c r="P69" i="10"/>
  <c r="Q53" i="10"/>
  <c r="AN17" i="10"/>
  <c r="AO14" i="10" s="1"/>
  <c r="AH23" i="10"/>
  <c r="AH24" i="10" s="1"/>
  <c r="P36" i="10"/>
  <c r="P71" i="10" s="1"/>
  <c r="P72" i="10" s="1"/>
  <c r="CD13" i="10" l="1"/>
  <c r="CC62" i="10"/>
  <c r="CC77" i="10" s="1"/>
  <c r="CC45" i="10"/>
  <c r="CC28" i="10"/>
  <c r="CC7" i="10"/>
  <c r="CC20" i="10" s="1"/>
  <c r="CH8" i="10"/>
  <c r="CH10" i="10" s="1"/>
  <c r="CG10" i="10"/>
  <c r="Q54" i="10"/>
  <c r="Q58" i="10"/>
  <c r="Q56" i="10"/>
  <c r="Q59" i="10" s="1"/>
  <c r="AO16" i="10"/>
  <c r="AH25" i="10"/>
  <c r="AI23" i="10" s="1"/>
  <c r="AI24" i="10" s="1"/>
  <c r="P41" i="10"/>
  <c r="P75" i="10" s="1"/>
  <c r="P37" i="10"/>
  <c r="P39" i="10"/>
  <c r="P74" i="10" s="1"/>
  <c r="CE13" i="10" l="1"/>
  <c r="CD45" i="10"/>
  <c r="CD28" i="10"/>
  <c r="CD7" i="10"/>
  <c r="CD20" i="10" s="1"/>
  <c r="CD62" i="10"/>
  <c r="CD77" i="10" s="1"/>
  <c r="AO17" i="10"/>
  <c r="AP14" i="10" s="1"/>
  <c r="AI25" i="10"/>
  <c r="R49" i="10"/>
  <c r="R65" i="10" s="1"/>
  <c r="P42" i="10"/>
  <c r="P76" i="10" s="1"/>
  <c r="Q32" i="10"/>
  <c r="CF13" i="10" l="1"/>
  <c r="CE45" i="10"/>
  <c r="CE28" i="10"/>
  <c r="CE7" i="10"/>
  <c r="CE20" i="10" s="1"/>
  <c r="CE62" i="10"/>
  <c r="CE77" i="10" s="1"/>
  <c r="Q63" i="10"/>
  <c r="Q15" i="10" s="1"/>
  <c r="Q64" i="10"/>
  <c r="R50" i="10"/>
  <c r="AP16" i="10"/>
  <c r="AJ23" i="10"/>
  <c r="AJ24" i="10" s="1"/>
  <c r="Q33" i="10"/>
  <c r="Q67" i="10" s="1"/>
  <c r="Q68" i="10" s="1"/>
  <c r="CG13" i="10" l="1"/>
  <c r="CF62" i="10"/>
  <c r="CF77" i="10" s="1"/>
  <c r="CF7" i="10"/>
  <c r="CF20" i="10" s="1"/>
  <c r="CF45" i="10"/>
  <c r="CF28" i="10"/>
  <c r="Q69" i="10"/>
  <c r="R53" i="10"/>
  <c r="AP17" i="10"/>
  <c r="AQ14" i="10" s="1"/>
  <c r="AJ25" i="10"/>
  <c r="Q36" i="10"/>
  <c r="Q71" i="10" s="1"/>
  <c r="Q72" i="10" s="1"/>
  <c r="CH13" i="10" l="1"/>
  <c r="CG45" i="10"/>
  <c r="CG7" i="10"/>
  <c r="CG20" i="10" s="1"/>
  <c r="CG62" i="10"/>
  <c r="CG77" i="10" s="1"/>
  <c r="CG28" i="10"/>
  <c r="R54" i="10"/>
  <c r="R58" i="10"/>
  <c r="R56" i="10"/>
  <c r="R59" i="10" s="1"/>
  <c r="AQ16" i="10"/>
  <c r="AK23" i="10"/>
  <c r="AK24" i="10" s="1"/>
  <c r="Q41" i="10"/>
  <c r="Q75" i="10" s="1"/>
  <c r="Q37" i="10"/>
  <c r="Q39" i="10"/>
  <c r="Q74" i="10" s="1"/>
  <c r="CH45" i="10" l="1"/>
  <c r="CH28" i="10"/>
  <c r="CH7" i="10"/>
  <c r="CH20" i="10" s="1"/>
  <c r="CH62" i="10"/>
  <c r="CH77" i="10" s="1"/>
  <c r="AQ17" i="10"/>
  <c r="AR14" i="10" s="1"/>
  <c r="AK25" i="10"/>
  <c r="S49" i="10"/>
  <c r="S65" i="10" s="1"/>
  <c r="R32" i="10"/>
  <c r="Q42" i="10"/>
  <c r="Q76" i="10" s="1"/>
  <c r="R63" i="10" l="1"/>
  <c r="R15" i="10" s="1"/>
  <c r="R64" i="10"/>
  <c r="S50" i="10"/>
  <c r="AR16" i="10"/>
  <c r="AL23" i="10"/>
  <c r="AL24" i="10" s="1"/>
  <c r="R33" i="10"/>
  <c r="R67" i="10" s="1"/>
  <c r="R68" i="10" s="1"/>
  <c r="R69" i="10" l="1"/>
  <c r="S53" i="10"/>
  <c r="AR17" i="10"/>
  <c r="AS14" i="10" s="1"/>
  <c r="AL25" i="10"/>
  <c r="AM23" i="10" s="1"/>
  <c r="AM24" i="10" s="1"/>
  <c r="R36" i="10"/>
  <c r="R71" i="10" s="1"/>
  <c r="R72" i="10" s="1"/>
  <c r="S54" i="10" l="1"/>
  <c r="S58" i="10"/>
  <c r="S56" i="10"/>
  <c r="S59" i="10" s="1"/>
  <c r="AS16" i="10"/>
  <c r="AM25" i="10"/>
  <c r="AN23" i="10" s="1"/>
  <c r="AN24" i="10" s="1"/>
  <c r="T31" i="9" s="1"/>
  <c r="R41" i="10"/>
  <c r="R75" i="10" s="1"/>
  <c r="R39" i="10"/>
  <c r="R74" i="10" s="1"/>
  <c r="R37" i="10"/>
  <c r="AS17" i="10" l="1"/>
  <c r="AT14" i="10" s="1"/>
  <c r="AN25" i="10"/>
  <c r="AO23" i="10" s="1"/>
  <c r="AO24" i="10" s="1"/>
  <c r="T49" i="10"/>
  <c r="T65" i="10" s="1"/>
  <c r="R42" i="10"/>
  <c r="R76" i="10" s="1"/>
  <c r="S32" i="10"/>
  <c r="S63" i="10" l="1"/>
  <c r="C10" i="40" s="1"/>
  <c r="S64" i="10"/>
  <c r="T50" i="10"/>
  <c r="AT16" i="10"/>
  <c r="AO25" i="10"/>
  <c r="AP23" i="10" s="1"/>
  <c r="AP24" i="10" s="1"/>
  <c r="S33" i="10"/>
  <c r="S67" i="10" s="1"/>
  <c r="S68" i="10" s="1"/>
  <c r="C12" i="40" l="1"/>
  <c r="S15" i="10"/>
  <c r="S69" i="10"/>
  <c r="T53" i="10"/>
  <c r="AT17" i="10"/>
  <c r="AU14" i="10" s="1"/>
  <c r="AP25" i="10"/>
  <c r="AQ23" i="10" s="1"/>
  <c r="AQ24" i="10" s="1"/>
  <c r="S36" i="10"/>
  <c r="S71" i="10" s="1"/>
  <c r="S72" i="10" s="1"/>
  <c r="T54" i="10" l="1"/>
  <c r="T58" i="10"/>
  <c r="T56" i="10"/>
  <c r="T59" i="10" s="1"/>
  <c r="AU16" i="10"/>
  <c r="AQ25" i="10"/>
  <c r="AR23" i="10" s="1"/>
  <c r="AR24" i="10" s="1"/>
  <c r="S41" i="10"/>
  <c r="S75" i="10" s="1"/>
  <c r="S37" i="10"/>
  <c r="S39" i="10"/>
  <c r="S74" i="10" s="1"/>
  <c r="C11" i="40" s="1"/>
  <c r="E20" i="44" s="1"/>
  <c r="F12" i="36" l="1"/>
  <c r="G12" i="36" s="1"/>
  <c r="E12" i="30"/>
  <c r="AU17" i="10"/>
  <c r="AV14" i="10" s="1"/>
  <c r="AR25" i="10"/>
  <c r="AS23" i="10" s="1"/>
  <c r="AS24" i="10" s="1"/>
  <c r="U49" i="10"/>
  <c r="U65" i="10" s="1"/>
  <c r="S42" i="10"/>
  <c r="S76" i="10" s="1"/>
  <c r="T32" i="10"/>
  <c r="T64" i="10" l="1"/>
  <c r="T63" i="10"/>
  <c r="T15" i="10" s="1"/>
  <c r="U50" i="10"/>
  <c r="AV16" i="10"/>
  <c r="AS25" i="10"/>
  <c r="AT23" i="10" s="1"/>
  <c r="AT24" i="10" s="1"/>
  <c r="T33" i="10"/>
  <c r="T67" i="10" s="1"/>
  <c r="T68" i="10" s="1"/>
  <c r="T69" i="10" l="1"/>
  <c r="U53" i="10"/>
  <c r="AV17" i="10"/>
  <c r="AW14" i="10" s="1"/>
  <c r="AT25" i="10"/>
  <c r="AU23" i="10" s="1"/>
  <c r="AU24" i="10" s="1"/>
  <c r="T36" i="10"/>
  <c r="T71" i="10" s="1"/>
  <c r="T72" i="10" s="1"/>
  <c r="U54" i="10" l="1"/>
  <c r="U58" i="10"/>
  <c r="U56" i="10"/>
  <c r="U59" i="10" s="1"/>
  <c r="AW16" i="10"/>
  <c r="AU25" i="10"/>
  <c r="AV23" i="10" s="1"/>
  <c r="AV24" i="10" s="1"/>
  <c r="T41" i="10"/>
  <c r="T75" i="10" s="1"/>
  <c r="T37" i="10"/>
  <c r="T39" i="10"/>
  <c r="T74" i="10" s="1"/>
  <c r="AW17" i="10" l="1"/>
  <c r="AX14" i="10" s="1"/>
  <c r="AV25" i="10"/>
  <c r="V49" i="10"/>
  <c r="V65" i="10" s="1"/>
  <c r="U32" i="10"/>
  <c r="T42" i="10"/>
  <c r="T76" i="10" s="1"/>
  <c r="U63" i="10" l="1"/>
  <c r="U15" i="10" s="1"/>
  <c r="U64" i="10"/>
  <c r="V50" i="10"/>
  <c r="AX16" i="10"/>
  <c r="AW23" i="10"/>
  <c r="AW24" i="10" s="1"/>
  <c r="U33" i="10"/>
  <c r="U67" i="10" s="1"/>
  <c r="U68" i="10" s="1"/>
  <c r="U69" i="10" l="1"/>
  <c r="V53" i="10"/>
  <c r="AX17" i="10"/>
  <c r="AY14" i="10" s="1"/>
  <c r="AW25" i="10"/>
  <c r="U36" i="10"/>
  <c r="U71" i="10" s="1"/>
  <c r="U72" i="10" s="1"/>
  <c r="V54" i="10" l="1"/>
  <c r="V58" i="10"/>
  <c r="V56" i="10"/>
  <c r="V59" i="10" s="1"/>
  <c r="AY16" i="10"/>
  <c r="AX23" i="10"/>
  <c r="AX24" i="10" s="1"/>
  <c r="U41" i="10"/>
  <c r="U75" i="10" s="1"/>
  <c r="U39" i="10"/>
  <c r="U74" i="10" s="1"/>
  <c r="U37" i="10"/>
  <c r="AY17" i="10" l="1"/>
  <c r="AZ14" i="10" s="1"/>
  <c r="AX25" i="10"/>
  <c r="AY23" i="10" s="1"/>
  <c r="AY24" i="10" s="1"/>
  <c r="W49" i="10"/>
  <c r="W65" i="10" s="1"/>
  <c r="U42" i="10"/>
  <c r="U76" i="10" s="1"/>
  <c r="V32" i="10"/>
  <c r="V63" i="10" l="1"/>
  <c r="V15" i="10" s="1"/>
  <c r="V64" i="10"/>
  <c r="W50" i="10"/>
  <c r="AZ16" i="10"/>
  <c r="AY25" i="10"/>
  <c r="AZ23" i="10" s="1"/>
  <c r="AZ24" i="10" s="1"/>
  <c r="V33" i="10"/>
  <c r="V67" i="10" s="1"/>
  <c r="V68" i="10" s="1"/>
  <c r="V69" i="10" l="1"/>
  <c r="W53" i="10"/>
  <c r="AZ17" i="10"/>
  <c r="BA14" i="10" s="1"/>
  <c r="AZ25" i="10"/>
  <c r="BA23" i="10" s="1"/>
  <c r="V36" i="10"/>
  <c r="V71" i="10" s="1"/>
  <c r="V72" i="10" s="1"/>
  <c r="W54" i="10" l="1"/>
  <c r="W58" i="10"/>
  <c r="W56" i="10"/>
  <c r="W59" i="10" s="1"/>
  <c r="BA16" i="10"/>
  <c r="BA17" i="10" s="1"/>
  <c r="BB14" i="10" s="1"/>
  <c r="BB16" i="10" s="1"/>
  <c r="BB17" i="10" s="1"/>
  <c r="BC14" i="10" s="1"/>
  <c r="BA24" i="10"/>
  <c r="BA25" i="10"/>
  <c r="V41" i="10"/>
  <c r="V75" i="10" s="1"/>
  <c r="V37" i="10"/>
  <c r="V39" i="10"/>
  <c r="V74" i="10" s="1"/>
  <c r="BC16" i="10" l="1"/>
  <c r="BC17" i="10" s="1"/>
  <c r="BD14" i="10" s="1"/>
  <c r="BD16" i="10" s="1"/>
  <c r="BD17" i="10" s="1"/>
  <c r="BE14" i="10" s="1"/>
  <c r="BE16" i="10" s="1"/>
  <c r="BE17" i="10" s="1"/>
  <c r="BF14" i="10" s="1"/>
  <c r="BF16" i="10" s="1"/>
  <c r="BF17" i="10" s="1"/>
  <c r="BG14" i="10" s="1"/>
  <c r="BB23" i="10"/>
  <c r="BB24" i="10" s="1"/>
  <c r="X49" i="10"/>
  <c r="X65" i="10" s="1"/>
  <c r="W32" i="10"/>
  <c r="V42" i="10"/>
  <c r="V76" i="10" s="1"/>
  <c r="BG16" i="10" l="1"/>
  <c r="BG17" i="10" s="1"/>
  <c r="BH14" i="10" s="1"/>
  <c r="BH16" i="10" s="1"/>
  <c r="BH17" i="10" s="1"/>
  <c r="BI14" i="10" s="1"/>
  <c r="BI16" i="10" s="1"/>
  <c r="BI17" i="10" s="1"/>
  <c r="BJ14" i="10" s="1"/>
  <c r="BJ16" i="10" s="1"/>
  <c r="BJ17" i="10" s="1"/>
  <c r="BK14" i="10" s="1"/>
  <c r="BB25" i="10"/>
  <c r="W63" i="10"/>
  <c r="W15" i="10" s="1"/>
  <c r="W64" i="10"/>
  <c r="X50" i="10"/>
  <c r="W33" i="10"/>
  <c r="W67" i="10" s="1"/>
  <c r="W68" i="10" s="1"/>
  <c r="BK16" i="10" l="1"/>
  <c r="BK17" i="10" s="1"/>
  <c r="BL14" i="10" s="1"/>
  <c r="BL16" i="10" s="1"/>
  <c r="BL17" i="10" s="1"/>
  <c r="BM14" i="10" s="1"/>
  <c r="BM16" i="10" s="1"/>
  <c r="BM17" i="10" s="1"/>
  <c r="BN14" i="10" s="1"/>
  <c r="BN16" i="10" s="1"/>
  <c r="BN17" i="10" s="1"/>
  <c r="BO14" i="10" s="1"/>
  <c r="BC23" i="10"/>
  <c r="BC24" i="10" s="1"/>
  <c r="W69" i="10"/>
  <c r="X53" i="10"/>
  <c r="W36" i="10"/>
  <c r="W71" i="10" s="1"/>
  <c r="W72" i="10" s="1"/>
  <c r="BO16" i="10" l="1"/>
  <c r="BO17" i="10" s="1"/>
  <c r="BP14" i="10" s="1"/>
  <c r="BP16" i="10" s="1"/>
  <c r="BP17" i="10" s="1"/>
  <c r="BQ14" i="10" s="1"/>
  <c r="BQ16" i="10" s="1"/>
  <c r="BQ17" i="10" s="1"/>
  <c r="BR14" i="10" s="1"/>
  <c r="BR16" i="10" s="1"/>
  <c r="BR17" i="10" s="1"/>
  <c r="BS14" i="10" s="1"/>
  <c r="BC25" i="10"/>
  <c r="BD23" i="10" s="1"/>
  <c r="X54" i="10"/>
  <c r="X58" i="10"/>
  <c r="X56" i="10"/>
  <c r="X59" i="10" s="1"/>
  <c r="W41" i="10"/>
  <c r="W75" i="10" s="1"/>
  <c r="W37" i="10"/>
  <c r="W39" i="10"/>
  <c r="W74" i="10" s="1"/>
  <c r="BS16" i="10" l="1"/>
  <c r="BS17" i="10" s="1"/>
  <c r="BT14" i="10" s="1"/>
  <c r="BD24" i="10"/>
  <c r="BD25" i="10"/>
  <c r="BE23" i="10" s="1"/>
  <c r="BE24" i="10" s="1"/>
  <c r="Y49" i="10"/>
  <c r="Y65" i="10" s="1"/>
  <c r="X32" i="10"/>
  <c r="W42" i="10"/>
  <c r="W76" i="10" s="1"/>
  <c r="BT16" i="10" l="1"/>
  <c r="BT17" i="10" s="1"/>
  <c r="BU14" i="10" s="1"/>
  <c r="BU16" i="10" s="1"/>
  <c r="BU17" i="10" s="1"/>
  <c r="BV14" i="10" s="1"/>
  <c r="BV16" i="10" s="1"/>
  <c r="BV17" i="10" s="1"/>
  <c r="BW14" i="10" s="1"/>
  <c r="BW16" i="10" s="1"/>
  <c r="BW17" i="10" s="1"/>
  <c r="BX14" i="10" s="1"/>
  <c r="BX16" i="10" s="1"/>
  <c r="BX17" i="10" s="1"/>
  <c r="BY14" i="10" s="1"/>
  <c r="BY16" i="10" s="1"/>
  <c r="BY17" i="10" s="1"/>
  <c r="BZ14" i="10" s="1"/>
  <c r="BZ16" i="10" s="1"/>
  <c r="BZ17" i="10" s="1"/>
  <c r="CA14" i="10" s="1"/>
  <c r="CA16" i="10" s="1"/>
  <c r="CA17" i="10" s="1"/>
  <c r="CB14" i="10" s="1"/>
  <c r="CB16" i="10" s="1"/>
  <c r="CB17" i="10" s="1"/>
  <c r="CC14" i="10" s="1"/>
  <c r="CC16" i="10" s="1"/>
  <c r="CC17" i="10" s="1"/>
  <c r="CD14" i="10" s="1"/>
  <c r="CD16" i="10" s="1"/>
  <c r="CD17" i="10" s="1"/>
  <c r="CE14" i="10" s="1"/>
  <c r="CE16" i="10" s="1"/>
  <c r="CE17" i="10" s="1"/>
  <c r="CF14" i="10" s="1"/>
  <c r="CF16" i="10" s="1"/>
  <c r="CF17" i="10" s="1"/>
  <c r="CG14" i="10" s="1"/>
  <c r="CG16" i="10" s="1"/>
  <c r="CG17" i="10" s="1"/>
  <c r="CH14" i="10" s="1"/>
  <c r="CH16" i="10" s="1"/>
  <c r="CH17" i="10" s="1"/>
  <c r="T15" i="9"/>
  <c r="T16" i="9" s="1"/>
  <c r="BE25" i="10"/>
  <c r="BF23" i="10" s="1"/>
  <c r="BF24" i="10" s="1"/>
  <c r="X64" i="10"/>
  <c r="X63" i="10"/>
  <c r="X15" i="10" s="1"/>
  <c r="Y50" i="10"/>
  <c r="X33" i="10"/>
  <c r="X67" i="10" s="1"/>
  <c r="X68" i="10" s="1"/>
  <c r="BF25" i="10" l="1"/>
  <c r="BG23" i="10" s="1"/>
  <c r="BG24" i="10" s="1"/>
  <c r="X69" i="10"/>
  <c r="Y53" i="10"/>
  <c r="X36" i="10"/>
  <c r="X71" i="10" s="1"/>
  <c r="X72" i="10" s="1"/>
  <c r="BG25" i="10" l="1"/>
  <c r="BH23" i="10" s="1"/>
  <c r="BH24" i="10" s="1"/>
  <c r="Y54" i="10"/>
  <c r="Y58" i="10"/>
  <c r="Y56" i="10"/>
  <c r="Y59" i="10" s="1"/>
  <c r="X41" i="10"/>
  <c r="X75" i="10" s="1"/>
  <c r="X39" i="10"/>
  <c r="X74" i="10" s="1"/>
  <c r="X37" i="10"/>
  <c r="BH25" i="10" l="1"/>
  <c r="BI23" i="10" s="1"/>
  <c r="BI24" i="10" s="1"/>
  <c r="Z49" i="10"/>
  <c r="Z65" i="10" s="1"/>
  <c r="X42" i="10"/>
  <c r="X76" i="10" s="1"/>
  <c r="Y32" i="10"/>
  <c r="BI25" i="10" l="1"/>
  <c r="BJ23" i="10" s="1"/>
  <c r="BJ24" i="10" s="1"/>
  <c r="Y63" i="10"/>
  <c r="Y15" i="10" s="1"/>
  <c r="Y64" i="10"/>
  <c r="Z50" i="10"/>
  <c r="Y33" i="10"/>
  <c r="Y67" i="10" s="1"/>
  <c r="Y68" i="10" s="1"/>
  <c r="BJ25" i="10" l="1"/>
  <c r="BK23" i="10" s="1"/>
  <c r="BK24" i="10" s="1"/>
  <c r="Y69" i="10"/>
  <c r="Z53" i="10"/>
  <c r="Y36" i="10"/>
  <c r="Y71" i="10" s="1"/>
  <c r="Y72" i="10" s="1"/>
  <c r="BK25" i="10" l="1"/>
  <c r="Z54" i="10"/>
  <c r="Z58" i="10"/>
  <c r="Z56" i="10"/>
  <c r="Z59" i="10" s="1"/>
  <c r="Y41" i="10"/>
  <c r="Y75" i="10" s="1"/>
  <c r="Y37" i="10"/>
  <c r="Y39" i="10"/>
  <c r="Y74" i="10" s="1"/>
  <c r="BL23" i="10" l="1"/>
  <c r="BL24" i="10" s="1"/>
  <c r="AA49" i="10"/>
  <c r="AA65" i="10" s="1"/>
  <c r="Y42" i="10"/>
  <c r="Y76" i="10" s="1"/>
  <c r="Z32" i="10"/>
  <c r="BL25" i="10" l="1"/>
  <c r="Z63" i="10"/>
  <c r="Z15" i="10" s="1"/>
  <c r="Z64" i="10"/>
  <c r="AA50" i="10"/>
  <c r="Z33" i="10"/>
  <c r="Z67" i="10" s="1"/>
  <c r="Z68" i="10" s="1"/>
  <c r="BM23" i="10" l="1"/>
  <c r="BM24" i="10" s="1"/>
  <c r="Z69" i="10"/>
  <c r="AA53" i="10"/>
  <c r="Z36" i="10"/>
  <c r="Z71" i="10" s="1"/>
  <c r="Z72" i="10" s="1"/>
  <c r="BM25" i="10" l="1"/>
  <c r="AA54" i="10"/>
  <c r="AA58" i="10"/>
  <c r="AA56" i="10"/>
  <c r="AA59" i="10" s="1"/>
  <c r="Z41" i="10"/>
  <c r="Z37" i="10"/>
  <c r="Z39" i="10"/>
  <c r="Z74" i="10" s="1"/>
  <c r="BN23" i="10" l="1"/>
  <c r="BN24" i="10" s="1"/>
  <c r="Z75" i="10"/>
  <c r="AB49" i="10"/>
  <c r="AB65" i="10" s="1"/>
  <c r="Z42" i="10"/>
  <c r="Z76" i="10" s="1"/>
  <c r="AA32" i="10"/>
  <c r="BN25" i="10" l="1"/>
  <c r="AA63" i="10"/>
  <c r="AA15" i="10" s="1"/>
  <c r="AA64" i="10"/>
  <c r="AB50" i="10"/>
  <c r="AA33" i="10"/>
  <c r="AA67" i="10" s="1"/>
  <c r="AA68" i="10" s="1"/>
  <c r="BO23" i="10" l="1"/>
  <c r="BO24" i="10" s="1"/>
  <c r="AA69" i="10"/>
  <c r="AB53" i="10"/>
  <c r="AA36" i="10"/>
  <c r="AA71" i="10" s="1"/>
  <c r="AA72" i="10" s="1"/>
  <c r="BO25" i="10" l="1"/>
  <c r="AB54" i="10"/>
  <c r="AB58" i="10"/>
  <c r="AB56" i="10"/>
  <c r="AB59" i="10" s="1"/>
  <c r="AA41" i="10"/>
  <c r="AA75" i="10" s="1"/>
  <c r="AA37" i="10"/>
  <c r="AA39" i="10"/>
  <c r="AA74" i="10" s="1"/>
  <c r="BP23" i="10" l="1"/>
  <c r="BP24" i="10" s="1"/>
  <c r="AC49" i="10"/>
  <c r="AC65" i="10" s="1"/>
  <c r="AB32" i="10"/>
  <c r="AA42" i="10"/>
  <c r="AA76" i="10" s="1"/>
  <c r="BP25" i="10" l="1"/>
  <c r="AB64" i="10"/>
  <c r="AB63" i="10"/>
  <c r="AC50" i="10"/>
  <c r="AB33" i="10"/>
  <c r="AB67" i="10" s="1"/>
  <c r="AB68" i="10" s="1"/>
  <c r="BQ23" i="10" l="1"/>
  <c r="BQ24" i="10" s="1"/>
  <c r="AB69" i="10"/>
  <c r="AB15" i="10"/>
  <c r="AC53" i="10"/>
  <c r="AB36" i="10"/>
  <c r="AB71" i="10" s="1"/>
  <c r="AB72" i="10" s="1"/>
  <c r="BQ25" i="10" l="1"/>
  <c r="AC54" i="10"/>
  <c r="AC58" i="10"/>
  <c r="AC56" i="10"/>
  <c r="AC59" i="10" s="1"/>
  <c r="AB41" i="10"/>
  <c r="AB75" i="10" s="1"/>
  <c r="AB37" i="10"/>
  <c r="AB39" i="10"/>
  <c r="AB74" i="10" s="1"/>
  <c r="BR23" i="10" l="1"/>
  <c r="BR24" i="10" s="1"/>
  <c r="AD49" i="10"/>
  <c r="AD65" i="10" s="1"/>
  <c r="AC32" i="10"/>
  <c r="AB42" i="10"/>
  <c r="AB76" i="10" s="1"/>
  <c r="BR25" i="10" l="1"/>
  <c r="AC63" i="10"/>
  <c r="AC15" i="10" s="1"/>
  <c r="AC64" i="10"/>
  <c r="AD54" i="10"/>
  <c r="AD50" i="10"/>
  <c r="AD53" i="10" s="1"/>
  <c r="AD58" i="10" s="1"/>
  <c r="AC33" i="10"/>
  <c r="AC67" i="10" s="1"/>
  <c r="AC68" i="10" s="1"/>
  <c r="BS23" i="10" l="1"/>
  <c r="BS24" i="10" s="1"/>
  <c r="AC69" i="10"/>
  <c r="AD56" i="10"/>
  <c r="AD59" i="10" s="1"/>
  <c r="AC36" i="10"/>
  <c r="AC71" i="10" s="1"/>
  <c r="AC72" i="10" s="1"/>
  <c r="BS25" i="10" l="1"/>
  <c r="BT23" i="10" s="1"/>
  <c r="BT24" i="10" s="1"/>
  <c r="AC41" i="10"/>
  <c r="AC75" i="10" s="1"/>
  <c r="AC37" i="10"/>
  <c r="AC39" i="10"/>
  <c r="AC74" i="10" s="1"/>
  <c r="BT25" i="10" l="1"/>
  <c r="AE49" i="10"/>
  <c r="AE65" i="10" s="1"/>
  <c r="AD32" i="10"/>
  <c r="AC42" i="10"/>
  <c r="AC76" i="10" s="1"/>
  <c r="BU23" i="10" l="1"/>
  <c r="BU24" i="10" s="1"/>
  <c r="AD63" i="10"/>
  <c r="AD15" i="10" s="1"/>
  <c r="AD64" i="10"/>
  <c r="AE54" i="10"/>
  <c r="AE50" i="10"/>
  <c r="AD33" i="10"/>
  <c r="AD67" i="10" s="1"/>
  <c r="AD68" i="10" s="1"/>
  <c r="BU25" i="10" l="1"/>
  <c r="AD69" i="10"/>
  <c r="AE53" i="10"/>
  <c r="AD36" i="10"/>
  <c r="AD71" i="10" s="1"/>
  <c r="AD72" i="10" s="1"/>
  <c r="BV23" i="10" l="1"/>
  <c r="BV24" i="10" s="1"/>
  <c r="AE56" i="10"/>
  <c r="AE59" i="10" s="1"/>
  <c r="AE58" i="10"/>
  <c r="AD41" i="10"/>
  <c r="AD75" i="10" s="1"/>
  <c r="AD37" i="10"/>
  <c r="AD39" i="10"/>
  <c r="AD74" i="10" s="1"/>
  <c r="BV25" i="10" l="1"/>
  <c r="BW23" i="10" s="1"/>
  <c r="BW24" i="10" s="1"/>
  <c r="AF49" i="10"/>
  <c r="AF65" i="10" s="1"/>
  <c r="AE32" i="10"/>
  <c r="AD42" i="10"/>
  <c r="AD76" i="10" s="1"/>
  <c r="BW25" i="10" l="1"/>
  <c r="BX23" i="10" s="1"/>
  <c r="BX24" i="10" s="1"/>
  <c r="AE63" i="10"/>
  <c r="AE15" i="10" s="1"/>
  <c r="AE64" i="10"/>
  <c r="AF54" i="10"/>
  <c r="AF50" i="10"/>
  <c r="AE33" i="10"/>
  <c r="AE67" i="10" s="1"/>
  <c r="AE68" i="10" s="1"/>
  <c r="BX25" i="10" l="1"/>
  <c r="BY23" i="10" s="1"/>
  <c r="BY24" i="10" s="1"/>
  <c r="AE69" i="10"/>
  <c r="AF53" i="10"/>
  <c r="AE36" i="10"/>
  <c r="AE71" i="10" s="1"/>
  <c r="AE72" i="10" s="1"/>
  <c r="BY25" i="10" l="1"/>
  <c r="BZ23" i="10" s="1"/>
  <c r="BZ24" i="10" s="1"/>
  <c r="AF56" i="10"/>
  <c r="AF59" i="10" s="1"/>
  <c r="AF58" i="10"/>
  <c r="AE41" i="10"/>
  <c r="AE75" i="10" s="1"/>
  <c r="AE37" i="10"/>
  <c r="AE39" i="10"/>
  <c r="AE74" i="10" s="1"/>
  <c r="BZ25" i="10" l="1"/>
  <c r="CA23" i="10" s="1"/>
  <c r="CA24" i="10" s="1"/>
  <c r="AG49" i="10"/>
  <c r="AG65" i="10" s="1"/>
  <c r="AF32" i="10"/>
  <c r="AE42" i="10"/>
  <c r="AE76" i="10" s="1"/>
  <c r="CA25" i="10" l="1"/>
  <c r="CB23" i="10" s="1"/>
  <c r="CB24" i="10" s="1"/>
  <c r="AF64" i="10"/>
  <c r="AF63" i="10"/>
  <c r="AG54" i="10"/>
  <c r="AG50" i="10"/>
  <c r="AF33" i="10"/>
  <c r="AF67" i="10" s="1"/>
  <c r="AF68" i="10" s="1"/>
  <c r="CB25" i="10" l="1"/>
  <c r="CC23" i="10" s="1"/>
  <c r="CC24" i="10" s="1"/>
  <c r="AF69" i="10"/>
  <c r="AF15" i="10"/>
  <c r="AG53" i="10"/>
  <c r="AF36" i="10"/>
  <c r="AF71" i="10" s="1"/>
  <c r="AF72" i="10" s="1"/>
  <c r="CC25" i="10" l="1"/>
  <c r="CD23" i="10" s="1"/>
  <c r="CD24" i="10" s="1"/>
  <c r="AG56" i="10"/>
  <c r="AG59" i="10" s="1"/>
  <c r="AG58" i="10"/>
  <c r="AF41" i="10"/>
  <c r="AF75" i="10" s="1"/>
  <c r="AF37" i="10"/>
  <c r="AF39" i="10"/>
  <c r="AF74" i="10" s="1"/>
  <c r="CD25" i="10" l="1"/>
  <c r="CE23" i="10" s="1"/>
  <c r="CE24" i="10" s="1"/>
  <c r="AH49" i="10"/>
  <c r="AH65" i="10" s="1"/>
  <c r="AF42" i="10"/>
  <c r="AF76" i="10" s="1"/>
  <c r="AG32" i="10"/>
  <c r="CE25" i="10" l="1"/>
  <c r="CF23" i="10" s="1"/>
  <c r="CF24" i="10" s="1"/>
  <c r="AG63" i="10"/>
  <c r="AG15" i="10" s="1"/>
  <c r="AG64" i="10"/>
  <c r="AH54" i="10"/>
  <c r="AH50" i="10"/>
  <c r="AH53" i="10" s="1"/>
  <c r="AH58" i="10" s="1"/>
  <c r="AG33" i="10"/>
  <c r="AG67" i="10" s="1"/>
  <c r="AG68" i="10" s="1"/>
  <c r="CF25" i="10" l="1"/>
  <c r="CG23" i="10" s="1"/>
  <c r="CG24" i="10" s="1"/>
  <c r="AG69" i="10"/>
  <c r="AH56" i="10"/>
  <c r="AH59" i="10" s="1"/>
  <c r="AG36" i="10"/>
  <c r="AG71" i="10" s="1"/>
  <c r="AG72" i="10" s="1"/>
  <c r="CG25" i="10" l="1"/>
  <c r="CH23" i="10" s="1"/>
  <c r="CH24" i="10" s="1"/>
  <c r="AG41" i="10"/>
  <c r="AG75" i="10" s="1"/>
  <c r="AG37" i="10"/>
  <c r="AG39" i="10"/>
  <c r="AG74" i="10" s="1"/>
  <c r="CH25" i="10" l="1"/>
  <c r="AI49" i="10"/>
  <c r="AI65" i="10" s="1"/>
  <c r="AH32" i="10"/>
  <c r="AG42" i="10"/>
  <c r="AG76" i="10" s="1"/>
  <c r="AH63" i="10" l="1"/>
  <c r="AH15" i="10" s="1"/>
  <c r="AH64" i="10"/>
  <c r="AI54" i="10"/>
  <c r="AI50" i="10"/>
  <c r="AH33" i="10"/>
  <c r="AH67" i="10" s="1"/>
  <c r="AH68" i="10" s="1"/>
  <c r="AH69" i="10" l="1"/>
  <c r="AI53" i="10"/>
  <c r="AH36" i="10"/>
  <c r="AH71" i="10" s="1"/>
  <c r="AH72" i="10" s="1"/>
  <c r="AI56" i="10" l="1"/>
  <c r="AI59" i="10" s="1"/>
  <c r="AI58" i="10"/>
  <c r="AH41" i="10"/>
  <c r="AH75" i="10" s="1"/>
  <c r="AH37" i="10"/>
  <c r="AH39" i="10"/>
  <c r="AH74" i="10" s="1"/>
  <c r="AJ49" i="10" l="1"/>
  <c r="AJ65" i="10" s="1"/>
  <c r="AI32" i="10"/>
  <c r="AH42" i="10"/>
  <c r="AH76" i="10" s="1"/>
  <c r="AI63" i="10" l="1"/>
  <c r="AI15" i="10" s="1"/>
  <c r="AI64" i="10"/>
  <c r="AJ54" i="10"/>
  <c r="AJ50" i="10"/>
  <c r="AI33" i="10"/>
  <c r="AI67" i="10" s="1"/>
  <c r="AI68" i="10" s="1"/>
  <c r="AI69" i="10" l="1"/>
  <c r="AJ53" i="10"/>
  <c r="AI36" i="10"/>
  <c r="AI71" i="10" s="1"/>
  <c r="AI72" i="10" s="1"/>
  <c r="AJ56" i="10" l="1"/>
  <c r="AJ59" i="10" s="1"/>
  <c r="AJ58" i="10"/>
  <c r="AI41" i="10"/>
  <c r="AI75" i="10" s="1"/>
  <c r="AI37" i="10"/>
  <c r="AI39" i="10"/>
  <c r="AI74" i="10" s="1"/>
  <c r="AK49" i="10" l="1"/>
  <c r="AK65" i="10" s="1"/>
  <c r="AI42" i="10"/>
  <c r="AI76" i="10" s="1"/>
  <c r="AJ32" i="10"/>
  <c r="AJ64" i="10" l="1"/>
  <c r="AJ63" i="10"/>
  <c r="AJ15" i="10" s="1"/>
  <c r="AK54" i="10"/>
  <c r="AK50" i="10"/>
  <c r="AJ33" i="10"/>
  <c r="AJ67" i="10" s="1"/>
  <c r="AJ68" i="10" s="1"/>
  <c r="AJ69" i="10" l="1"/>
  <c r="AK53" i="10"/>
  <c r="AJ36" i="10"/>
  <c r="AJ71" i="10" s="1"/>
  <c r="AJ72" i="10" s="1"/>
  <c r="AK56" i="10" l="1"/>
  <c r="AK59" i="10" s="1"/>
  <c r="AK58" i="10"/>
  <c r="AJ41" i="10"/>
  <c r="AJ75" i="10" s="1"/>
  <c r="AJ37" i="10"/>
  <c r="AJ39" i="10"/>
  <c r="AJ74" i="10" s="1"/>
  <c r="AL49" i="10" l="1"/>
  <c r="AL65" i="10" s="1"/>
  <c r="AJ42" i="10"/>
  <c r="AJ76" i="10" s="1"/>
  <c r="AK32" i="10"/>
  <c r="AK63" i="10" l="1"/>
  <c r="AK15" i="10" s="1"/>
  <c r="AK64" i="10"/>
  <c r="AL54" i="10"/>
  <c r="AL50" i="10"/>
  <c r="AK33" i="10"/>
  <c r="AK67" i="10" s="1"/>
  <c r="AK68" i="10" s="1"/>
  <c r="AK69" i="10" l="1"/>
  <c r="AL53" i="10"/>
  <c r="AK36" i="10"/>
  <c r="AK37" i="10" l="1"/>
  <c r="AK71" i="10"/>
  <c r="AK72" i="10" s="1"/>
  <c r="AL56" i="10"/>
  <c r="AL59" i="10" s="1"/>
  <c r="AL58" i="10"/>
  <c r="AK41" i="10"/>
  <c r="AK75" i="10" s="1"/>
  <c r="AK39" i="10"/>
  <c r="AK74" i="10" s="1"/>
  <c r="AM49" i="10" l="1"/>
  <c r="AM65" i="10" s="1"/>
  <c r="AL32" i="10"/>
  <c r="AK42" i="10"/>
  <c r="AK76" i="10" s="1"/>
  <c r="AL63" i="10" l="1"/>
  <c r="AL15" i="10" s="1"/>
  <c r="AL64" i="10"/>
  <c r="AM54" i="10"/>
  <c r="AM50" i="10"/>
  <c r="AL33" i="10"/>
  <c r="AL67" i="10" s="1"/>
  <c r="AL68" i="10" s="1"/>
  <c r="AL69" i="10" l="1"/>
  <c r="AM53" i="10"/>
  <c r="AL36" i="10"/>
  <c r="AL71" i="10" s="1"/>
  <c r="AL72" i="10" s="1"/>
  <c r="AM56" i="10" l="1"/>
  <c r="AM59" i="10" s="1"/>
  <c r="AM58" i="10"/>
  <c r="AL41" i="10"/>
  <c r="AL75" i="10" s="1"/>
  <c r="AL37" i="10"/>
  <c r="AL39" i="10"/>
  <c r="AL74" i="10" s="1"/>
  <c r="AN49" i="10" l="1"/>
  <c r="AN65" i="10" s="1"/>
  <c r="AM32" i="10"/>
  <c r="AL42" i="10"/>
  <c r="AL76" i="10" s="1"/>
  <c r="AM63" i="10" l="1"/>
  <c r="AM64" i="10"/>
  <c r="AN54" i="10"/>
  <c r="AN50" i="10"/>
  <c r="AM33" i="10"/>
  <c r="AM67" i="10" s="1"/>
  <c r="AM68" i="10" s="1"/>
  <c r="AM15" i="10" l="1"/>
  <c r="AM69" i="10"/>
  <c r="AN53" i="10"/>
  <c r="AM36" i="10"/>
  <c r="AM37" i="10" l="1"/>
  <c r="AM71" i="10"/>
  <c r="AM72" i="10" s="1"/>
  <c r="AN56" i="10"/>
  <c r="AN59" i="10" s="1"/>
  <c r="AN58" i="10"/>
  <c r="AM41" i="10"/>
  <c r="AM75" i="10" s="1"/>
  <c r="AM39" i="10"/>
  <c r="AM74" i="10" s="1"/>
  <c r="AO49" i="10" l="1"/>
  <c r="AO65" i="10" s="1"/>
  <c r="AM42" i="10"/>
  <c r="AM76" i="10" s="1"/>
  <c r="AN32" i="10"/>
  <c r="AN64" i="10" l="1"/>
  <c r="AN63" i="10"/>
  <c r="AN15" i="10" s="1"/>
  <c r="AO54" i="10"/>
  <c r="AO50" i="10"/>
  <c r="AN33" i="10"/>
  <c r="AN67" i="10" s="1"/>
  <c r="AN68" i="10" l="1"/>
  <c r="T21" i="9"/>
  <c r="T30" i="9" s="1"/>
  <c r="T32" i="9" s="1"/>
  <c r="T34" i="9" s="1"/>
  <c r="T24" i="9" s="1"/>
  <c r="AN69" i="10"/>
  <c r="AO53" i="10"/>
  <c r="AN36" i="10"/>
  <c r="AN37" i="10" l="1"/>
  <c r="AN71" i="10"/>
  <c r="AO56" i="10"/>
  <c r="AO59" i="10" s="1"/>
  <c r="AO58" i="10"/>
  <c r="AN41" i="10"/>
  <c r="AN75" i="10" s="1"/>
  <c r="AN39" i="10"/>
  <c r="AN74" i="10" s="1"/>
  <c r="AN72" i="10" l="1"/>
  <c r="T22" i="9"/>
  <c r="T23" i="9" s="1"/>
  <c r="T25" i="9" s="1"/>
  <c r="T37" i="9" s="1"/>
  <c r="T38" i="9" s="1"/>
  <c r="AP49" i="10"/>
  <c r="AP65" i="10" s="1"/>
  <c r="AN42" i="10"/>
  <c r="AN76" i="10" s="1"/>
  <c r="AO32" i="10"/>
  <c r="AO63" i="10" l="1"/>
  <c r="AO15" i="10" s="1"/>
  <c r="AO64" i="10"/>
  <c r="AP54" i="10"/>
  <c r="AP50" i="10"/>
  <c r="AO33" i="10"/>
  <c r="AO67" i="10" s="1"/>
  <c r="AO68" i="10" s="1"/>
  <c r="AO69" i="10" l="1"/>
  <c r="AP53" i="10"/>
  <c r="AO36" i="10"/>
  <c r="AO71" i="10" s="1"/>
  <c r="AO72" i="10" s="1"/>
  <c r="AP56" i="10" l="1"/>
  <c r="AP59" i="10" s="1"/>
  <c r="AP58" i="10"/>
  <c r="AO41" i="10"/>
  <c r="AO75" i="10" s="1"/>
  <c r="AO37" i="10"/>
  <c r="AO39" i="10"/>
  <c r="AO74" i="10" s="1"/>
  <c r="AQ49" i="10" l="1"/>
  <c r="AQ65" i="10" s="1"/>
  <c r="AO42" i="10"/>
  <c r="AO76" i="10" s="1"/>
  <c r="AP32" i="10"/>
  <c r="AP63" i="10" l="1"/>
  <c r="AP15" i="10" s="1"/>
  <c r="AP64" i="10"/>
  <c r="AQ54" i="10"/>
  <c r="AQ50" i="10"/>
  <c r="AP33" i="10"/>
  <c r="AP67" i="10" s="1"/>
  <c r="AP68" i="10" s="1"/>
  <c r="AP69" i="10" l="1"/>
  <c r="AQ53" i="10"/>
  <c r="AP36" i="10"/>
  <c r="AP37" i="10" l="1"/>
  <c r="AP71" i="10"/>
  <c r="AP72" i="10" s="1"/>
  <c r="AQ56" i="10"/>
  <c r="AQ59" i="10" s="1"/>
  <c r="AQ58" i="10"/>
  <c r="AP41" i="10"/>
  <c r="AP75" i="10" s="1"/>
  <c r="AP39" i="10"/>
  <c r="AP74" i="10" s="1"/>
  <c r="AR49" i="10" l="1"/>
  <c r="AR65" i="10" s="1"/>
  <c r="AQ32" i="10"/>
  <c r="AP42" i="10"/>
  <c r="AP76" i="10" s="1"/>
  <c r="AQ63" i="10" l="1"/>
  <c r="AQ15" i="10" s="1"/>
  <c r="AQ64" i="10"/>
  <c r="AR54" i="10"/>
  <c r="AR50" i="10"/>
  <c r="AQ33" i="10"/>
  <c r="AQ67" i="10" s="1"/>
  <c r="AQ68" i="10" s="1"/>
  <c r="AQ69" i="10" l="1"/>
  <c r="AR53" i="10"/>
  <c r="AQ36" i="10"/>
  <c r="AQ37" i="10" l="1"/>
  <c r="AQ71" i="10"/>
  <c r="AQ72" i="10" s="1"/>
  <c r="AR56" i="10"/>
  <c r="AR59" i="10" s="1"/>
  <c r="AR58" i="10"/>
  <c r="AQ41" i="10"/>
  <c r="AQ75" i="10" s="1"/>
  <c r="AQ39" i="10"/>
  <c r="AQ74" i="10" s="1"/>
  <c r="AS49" i="10" l="1"/>
  <c r="AS65" i="10" s="1"/>
  <c r="AR32" i="10"/>
  <c r="AQ42" i="10"/>
  <c r="AQ76" i="10" s="1"/>
  <c r="AR64" i="10" l="1"/>
  <c r="AR63" i="10"/>
  <c r="AS54" i="10"/>
  <c r="AS50" i="10"/>
  <c r="AR33" i="10"/>
  <c r="AR67" i="10" s="1"/>
  <c r="AR68" i="10" s="1"/>
  <c r="AR69" i="10" l="1"/>
  <c r="AR15" i="10"/>
  <c r="AS53" i="10"/>
  <c r="AR36" i="10"/>
  <c r="AR71" i="10" s="1"/>
  <c r="AR72" i="10" s="1"/>
  <c r="AS56" i="10" l="1"/>
  <c r="AS59" i="10" s="1"/>
  <c r="AS58" i="10"/>
  <c r="AR41" i="10"/>
  <c r="AR75" i="10" s="1"/>
  <c r="AR37" i="10"/>
  <c r="AR39" i="10"/>
  <c r="AR74" i="10" s="1"/>
  <c r="AT49" i="10" l="1"/>
  <c r="AT65" i="10" s="1"/>
  <c r="AS32" i="10"/>
  <c r="AR42" i="10"/>
  <c r="AR76" i="10" s="1"/>
  <c r="AS63" i="10" l="1"/>
  <c r="AS15" i="10" s="1"/>
  <c r="AS64" i="10"/>
  <c r="AT54" i="10"/>
  <c r="AT50" i="10"/>
  <c r="AS33" i="10"/>
  <c r="AS67" i="10" s="1"/>
  <c r="AS68" i="10" s="1"/>
  <c r="AS69" i="10" l="1"/>
  <c r="AT53" i="10"/>
  <c r="AS36" i="10"/>
  <c r="AS37" i="10" l="1"/>
  <c r="AS71" i="10"/>
  <c r="AS72" i="10" s="1"/>
  <c r="AT56" i="10"/>
  <c r="AT59" i="10" s="1"/>
  <c r="AT58" i="10"/>
  <c r="AS41" i="10"/>
  <c r="AS75" i="10" s="1"/>
  <c r="AS39" i="10"/>
  <c r="AS74" i="10" s="1"/>
  <c r="AU49" i="10" l="1"/>
  <c r="AU65" i="10" s="1"/>
  <c r="AS42" i="10"/>
  <c r="AS76" i="10" s="1"/>
  <c r="AT32" i="10"/>
  <c r="AT63" i="10" l="1"/>
  <c r="AT15" i="10" s="1"/>
  <c r="AT64" i="10"/>
  <c r="AU54" i="10"/>
  <c r="AU50" i="10"/>
  <c r="AT33" i="10"/>
  <c r="AT67" i="10" s="1"/>
  <c r="AT68" i="10" s="1"/>
  <c r="AT69" i="10" l="1"/>
  <c r="AU53" i="10"/>
  <c r="AT36" i="10"/>
  <c r="AT37" i="10" l="1"/>
  <c r="AT71" i="10"/>
  <c r="AT72" i="10" s="1"/>
  <c r="AU56" i="10"/>
  <c r="AU59" i="10" s="1"/>
  <c r="AU58" i="10"/>
  <c r="AT41" i="10"/>
  <c r="AT75" i="10" s="1"/>
  <c r="AT39" i="10"/>
  <c r="AT74" i="10" s="1"/>
  <c r="AV49" i="10" l="1"/>
  <c r="AV65" i="10" s="1"/>
  <c r="AT42" i="10"/>
  <c r="AT76" i="10" s="1"/>
  <c r="AU32" i="10"/>
  <c r="AU63" i="10" l="1"/>
  <c r="AU15" i="10" s="1"/>
  <c r="AU64" i="10"/>
  <c r="AV54" i="10"/>
  <c r="AV50" i="10"/>
  <c r="AU33" i="10"/>
  <c r="AU67" i="10" s="1"/>
  <c r="AU68" i="10" s="1"/>
  <c r="AU69" i="10" l="1"/>
  <c r="AV53" i="10"/>
  <c r="AU36" i="10"/>
  <c r="AU71" i="10" s="1"/>
  <c r="AU72" i="10" s="1"/>
  <c r="AV56" i="10" l="1"/>
  <c r="AV59" i="10" s="1"/>
  <c r="AV58" i="10"/>
  <c r="AU41" i="10"/>
  <c r="AU75" i="10" s="1"/>
  <c r="AU39" i="10"/>
  <c r="AU74" i="10" s="1"/>
  <c r="AU37" i="10"/>
  <c r="AW49" i="10" l="1"/>
  <c r="AW65" i="10" s="1"/>
  <c r="AU42" i="10"/>
  <c r="AU76" i="10" s="1"/>
  <c r="AV32" i="10"/>
  <c r="AV64" i="10" l="1"/>
  <c r="AV63" i="10"/>
  <c r="AW54" i="10"/>
  <c r="AW50" i="10"/>
  <c r="AV33" i="10"/>
  <c r="AV67" i="10" s="1"/>
  <c r="AV68" i="10" s="1"/>
  <c r="AV69" i="10" l="1"/>
  <c r="AV15" i="10"/>
  <c r="AW53" i="10"/>
  <c r="AV36" i="10"/>
  <c r="AV37" i="10" l="1"/>
  <c r="AV71" i="10"/>
  <c r="AV72" i="10" s="1"/>
  <c r="AW56" i="10"/>
  <c r="AW59" i="10" s="1"/>
  <c r="AW58" i="10"/>
  <c r="AV41" i="10"/>
  <c r="AV75" i="10" s="1"/>
  <c r="AV39" i="10"/>
  <c r="AV74" i="10" s="1"/>
  <c r="AX49" i="10" l="1"/>
  <c r="AX65" i="10" s="1"/>
  <c r="AV42" i="10"/>
  <c r="AV76" i="10" s="1"/>
  <c r="AW32" i="10"/>
  <c r="AW63" i="10" l="1"/>
  <c r="AW15" i="10" s="1"/>
  <c r="AW64" i="10"/>
  <c r="AX54" i="10"/>
  <c r="AX50" i="10"/>
  <c r="AW33" i="10"/>
  <c r="AW67" i="10" s="1"/>
  <c r="AW68" i="10" s="1"/>
  <c r="AW69" i="10" l="1"/>
  <c r="AX53" i="10"/>
  <c r="AW36" i="10"/>
  <c r="AW37" i="10" l="1"/>
  <c r="AW71" i="10"/>
  <c r="AW72" i="10" s="1"/>
  <c r="AX56" i="10"/>
  <c r="AX59" i="10" s="1"/>
  <c r="AX58" i="10"/>
  <c r="AW41" i="10"/>
  <c r="AW75" i="10" s="1"/>
  <c r="AW39" i="10"/>
  <c r="AW74" i="10" s="1"/>
  <c r="AY49" i="10" l="1"/>
  <c r="AY65" i="10" s="1"/>
  <c r="AW42" i="10"/>
  <c r="AW76" i="10" s="1"/>
  <c r="AX32" i="10"/>
  <c r="AX63" i="10" l="1"/>
  <c r="AX15" i="10" s="1"/>
  <c r="AX64" i="10"/>
  <c r="AY54" i="10"/>
  <c r="AY50" i="10"/>
  <c r="AX33" i="10"/>
  <c r="AX67" i="10" s="1"/>
  <c r="AX68" i="10" s="1"/>
  <c r="AX69" i="10" l="1"/>
  <c r="AY53" i="10"/>
  <c r="AX36" i="10"/>
  <c r="AX37" i="10" l="1"/>
  <c r="AX71" i="10"/>
  <c r="AX72" i="10" s="1"/>
  <c r="AY56" i="10"/>
  <c r="AY59" i="10" s="1"/>
  <c r="AY58" i="10"/>
  <c r="AX41" i="10"/>
  <c r="AX75" i="10" s="1"/>
  <c r="AX39" i="10"/>
  <c r="AX74" i="10" s="1"/>
  <c r="AZ49" i="10" l="1"/>
  <c r="AZ65" i="10" s="1"/>
  <c r="AX42" i="10"/>
  <c r="AX76" i="10" s="1"/>
  <c r="AY32" i="10"/>
  <c r="AY63" i="10" l="1"/>
  <c r="AY64" i="10"/>
  <c r="AZ54" i="10"/>
  <c r="AZ50" i="10"/>
  <c r="AY15" i="10"/>
  <c r="AY33" i="10"/>
  <c r="AY67" i="10" s="1"/>
  <c r="AY68" i="10" s="1"/>
  <c r="AY69" i="10" l="1"/>
  <c r="AZ53" i="10"/>
  <c r="AY36" i="10"/>
  <c r="AY37" i="10" l="1"/>
  <c r="AY71" i="10"/>
  <c r="AY72" i="10" s="1"/>
  <c r="AZ56" i="10"/>
  <c r="AZ59" i="10" s="1"/>
  <c r="AZ58" i="10"/>
  <c r="AY41" i="10"/>
  <c r="AY75" i="10" s="1"/>
  <c r="AY39" i="10"/>
  <c r="AY74" i="10" s="1"/>
  <c r="BA49" i="10" l="1"/>
  <c r="BA65" i="10" s="1"/>
  <c r="AZ32" i="10"/>
  <c r="AY42" i="10"/>
  <c r="AY76" i="10" s="1"/>
  <c r="AZ64" i="10" l="1"/>
  <c r="AZ63" i="10"/>
  <c r="BA54" i="10"/>
  <c r="BA50" i="10"/>
  <c r="AZ33" i="10"/>
  <c r="AZ67" i="10" s="1"/>
  <c r="AZ68" i="10" s="1"/>
  <c r="AZ69" i="10" l="1"/>
  <c r="AZ15" i="10"/>
  <c r="BA53" i="10"/>
  <c r="AZ36" i="10"/>
  <c r="AZ37" i="10" l="1"/>
  <c r="AZ71" i="10"/>
  <c r="AZ72" i="10" s="1"/>
  <c r="BA56" i="10"/>
  <c r="BA59" i="10" s="1"/>
  <c r="BA58" i="10"/>
  <c r="BB49" i="10" s="1"/>
  <c r="AZ41" i="10"/>
  <c r="AZ75" i="10" s="1"/>
  <c r="AZ39" i="10"/>
  <c r="AZ74" i="10" s="1"/>
  <c r="BB54" i="10" l="1"/>
  <c r="BB65" i="10"/>
  <c r="BB50" i="10"/>
  <c r="N28" i="9"/>
  <c r="BA32" i="10"/>
  <c r="AZ42" i="10"/>
  <c r="AZ76" i="10" s="1"/>
  <c r="BB53" i="10" l="1"/>
  <c r="BB58" i="10" s="1"/>
  <c r="BC49" i="10" s="1"/>
  <c r="BA63" i="10"/>
  <c r="BA15" i="10" s="1"/>
  <c r="BA64" i="10"/>
  <c r="BA33" i="10"/>
  <c r="BA67" i="10" s="1"/>
  <c r="BA68" i="10" s="1"/>
  <c r="BB56" i="10" l="1"/>
  <c r="BC65" i="10"/>
  <c r="BC54" i="10"/>
  <c r="BC50" i="10"/>
  <c r="BA69" i="10"/>
  <c r="BA36" i="10"/>
  <c r="BC53" i="10" l="1"/>
  <c r="BC58" i="10" s="1"/>
  <c r="BD49" i="10" s="1"/>
  <c r="BB59" i="10"/>
  <c r="BA71" i="10"/>
  <c r="BA72" i="10" s="1"/>
  <c r="BA37" i="10"/>
  <c r="BA41" i="10"/>
  <c r="BB32" i="10" s="1"/>
  <c r="BA39" i="10"/>
  <c r="BA74" i="10" s="1"/>
  <c r="BD65" i="10" l="1"/>
  <c r="BD54" i="10"/>
  <c r="BD50" i="10"/>
  <c r="BC56" i="10"/>
  <c r="BB63" i="10"/>
  <c r="BB64" i="10"/>
  <c r="BB33" i="10"/>
  <c r="BA75" i="10"/>
  <c r="N21" i="9"/>
  <c r="BA42" i="10"/>
  <c r="BA76" i="10" s="1"/>
  <c r="J34" i="15"/>
  <c r="J37" i="15" s="1"/>
  <c r="J44" i="15"/>
  <c r="BD53" i="10" l="1"/>
  <c r="BD58" i="10" s="1"/>
  <c r="BE49" i="10" s="1"/>
  <c r="BC59" i="10"/>
  <c r="BB36" i="10"/>
  <c r="BB39" i="10" s="1"/>
  <c r="BB67" i="10"/>
  <c r="BB68" i="10" s="1"/>
  <c r="BB15" i="10"/>
  <c r="BB69" i="10" l="1"/>
  <c r="BD56" i="10"/>
  <c r="BD59" i="10" s="1"/>
  <c r="BE65" i="10"/>
  <c r="BE54" i="10"/>
  <c r="BE50" i="10"/>
  <c r="BB74" i="10"/>
  <c r="BB42" i="10"/>
  <c r="BB76" i="10" s="1"/>
  <c r="BB71" i="10"/>
  <c r="BB72" i="10" s="1"/>
  <c r="BB41" i="10"/>
  <c r="BB37" i="10"/>
  <c r="BE53" i="10" l="1"/>
  <c r="BE58" i="10" s="1"/>
  <c r="BF49" i="10" s="1"/>
  <c r="BC32" i="10"/>
  <c r="BB75" i="10"/>
  <c r="BE56" i="10" l="1"/>
  <c r="BE59" i="10" s="1"/>
  <c r="BF65" i="10"/>
  <c r="BF54" i="10"/>
  <c r="BF50" i="10"/>
  <c r="BC63" i="10"/>
  <c r="BC64" i="10"/>
  <c r="BC33" i="10"/>
  <c r="BF53" i="10" l="1"/>
  <c r="BF58" i="10" s="1"/>
  <c r="BG49" i="10" s="1"/>
  <c r="BC15" i="10"/>
  <c r="BC67" i="10"/>
  <c r="BC68" i="10" s="1"/>
  <c r="BC36" i="10"/>
  <c r="BC39" i="10" s="1"/>
  <c r="BF56" i="10" l="1"/>
  <c r="BF59" i="10" s="1"/>
  <c r="BG65" i="10"/>
  <c r="BG54" i="10"/>
  <c r="BG50" i="10"/>
  <c r="BC69" i="10"/>
  <c r="BC74" i="10"/>
  <c r="BC42" i="10"/>
  <c r="BC76" i="10" s="1"/>
  <c r="BC41" i="10"/>
  <c r="BC71" i="10"/>
  <c r="BC72" i="10" s="1"/>
  <c r="BC37" i="10"/>
  <c r="BG53" i="10" l="1"/>
  <c r="BG58" i="10" s="1"/>
  <c r="BH49" i="10" s="1"/>
  <c r="BD32" i="10"/>
  <c r="BC75" i="10"/>
  <c r="BH65" i="10" l="1"/>
  <c r="BH54" i="10"/>
  <c r="BH50" i="10"/>
  <c r="BG56" i="10"/>
  <c r="BD64" i="10"/>
  <c r="BD63" i="10"/>
  <c r="BD33" i="10"/>
  <c r="BH53" i="10" l="1"/>
  <c r="BH58" i="10" s="1"/>
  <c r="BI49" i="10" s="1"/>
  <c r="BG59" i="10"/>
  <c r="BD67" i="10"/>
  <c r="BD68" i="10" s="1"/>
  <c r="BD36" i="10"/>
  <c r="BD15" i="10"/>
  <c r="BH56" i="10" l="1"/>
  <c r="BH59" i="10" s="1"/>
  <c r="BI65" i="10"/>
  <c r="BI54" i="10"/>
  <c r="BI50" i="10"/>
  <c r="BD69" i="10"/>
  <c r="BD41" i="10"/>
  <c r="BD71" i="10"/>
  <c r="BD72" i="10" s="1"/>
  <c r="BD37" i="10"/>
  <c r="BD39" i="10"/>
  <c r="BI53" i="10" l="1"/>
  <c r="BI58" i="10" s="1"/>
  <c r="BJ49" i="10" s="1"/>
  <c r="BE32" i="10"/>
  <c r="BD75" i="10"/>
  <c r="BD74" i="10"/>
  <c r="BD42" i="10"/>
  <c r="BD76" i="10" s="1"/>
  <c r="BJ65" i="10" l="1"/>
  <c r="BJ54" i="10"/>
  <c r="BJ50" i="10"/>
  <c r="BI56" i="10"/>
  <c r="BE63" i="10"/>
  <c r="BE64" i="10"/>
  <c r="BE33" i="10"/>
  <c r="BJ53" i="10" l="1"/>
  <c r="BJ58" i="10" s="1"/>
  <c r="BK49" i="10" s="1"/>
  <c r="BI59" i="10"/>
  <c r="BE15" i="10"/>
  <c r="BE67" i="10"/>
  <c r="BE68" i="10" s="1"/>
  <c r="BE36" i="10"/>
  <c r="BE39" i="10" s="1"/>
  <c r="BK65" i="10" l="1"/>
  <c r="BK54" i="10"/>
  <c r="BK50" i="10"/>
  <c r="BJ56" i="10"/>
  <c r="BE74" i="10"/>
  <c r="BE42" i="10"/>
  <c r="BE76" i="10" s="1"/>
  <c r="BE41" i="10"/>
  <c r="BE71" i="10"/>
  <c r="BE72" i="10" s="1"/>
  <c r="BE37" i="10"/>
  <c r="BE69" i="10"/>
  <c r="BJ59" i="10" l="1"/>
  <c r="BK53" i="10"/>
  <c r="BK58" i="10" s="1"/>
  <c r="BL49" i="10" s="1"/>
  <c r="BF32" i="10"/>
  <c r="BE75" i="10"/>
  <c r="BK56" i="10" l="1"/>
  <c r="BK59" i="10" s="1"/>
  <c r="BL65" i="10"/>
  <c r="BL54" i="10"/>
  <c r="BL50" i="10"/>
  <c r="BF63" i="10"/>
  <c r="BF64" i="10"/>
  <c r="BF33" i="10"/>
  <c r="BL53" i="10" l="1"/>
  <c r="BL58" i="10" s="1"/>
  <c r="BM49" i="10" s="1"/>
  <c r="BF67" i="10"/>
  <c r="BF68" i="10" s="1"/>
  <c r="BF36" i="10"/>
  <c r="BF15" i="10"/>
  <c r="BF69" i="10" l="1"/>
  <c r="BL56" i="10"/>
  <c r="BL59" i="10" s="1"/>
  <c r="BM65" i="10"/>
  <c r="BM54" i="10"/>
  <c r="BM50" i="10"/>
  <c r="BF41" i="10"/>
  <c r="BF71" i="10"/>
  <c r="BF72" i="10" s="1"/>
  <c r="BF37" i="10"/>
  <c r="BF39" i="10"/>
  <c r="BM53" i="10" l="1"/>
  <c r="BM58" i="10" s="1"/>
  <c r="BN49" i="10" s="1"/>
  <c r="BF74" i="10"/>
  <c r="BF42" i="10"/>
  <c r="BF76" i="10" s="1"/>
  <c r="BG32" i="10"/>
  <c r="BF75" i="10"/>
  <c r="BM56" i="10" l="1"/>
  <c r="BM59" i="10" s="1"/>
  <c r="BN65" i="10"/>
  <c r="BN54" i="10"/>
  <c r="BN50" i="10"/>
  <c r="BG63" i="10"/>
  <c r="BG64" i="10"/>
  <c r="BG33" i="10"/>
  <c r="BN53" i="10" l="1"/>
  <c r="BN58" i="10" s="1"/>
  <c r="BO49" i="10" s="1"/>
  <c r="BG67" i="10"/>
  <c r="BG68" i="10" s="1"/>
  <c r="BG36" i="10"/>
  <c r="BG15" i="10"/>
  <c r="BN56" i="10" l="1"/>
  <c r="BN59" i="10" s="1"/>
  <c r="BO65" i="10"/>
  <c r="BO54" i="10"/>
  <c r="BO50" i="10"/>
  <c r="BG69" i="10"/>
  <c r="BG41" i="10"/>
  <c r="BG71" i="10"/>
  <c r="BG72" i="10" s="1"/>
  <c r="BG37" i="10"/>
  <c r="BG39" i="10"/>
  <c r="BO53" i="10" l="1"/>
  <c r="BO58" i="10" s="1"/>
  <c r="BP49" i="10" s="1"/>
  <c r="BP65" i="10" s="1"/>
  <c r="BH32" i="10"/>
  <c r="BG75" i="10"/>
  <c r="BG74" i="10"/>
  <c r="BG42" i="10"/>
  <c r="BG76" i="10" s="1"/>
  <c r="BO56" i="10" l="1"/>
  <c r="BO59" i="10" s="1"/>
  <c r="BP50" i="10"/>
  <c r="BP54" i="10"/>
  <c r="BH64" i="10"/>
  <c r="BH63" i="10"/>
  <c r="BH33" i="10"/>
  <c r="BP53" i="10" l="1"/>
  <c r="BP58" i="10" s="1"/>
  <c r="BQ49" i="10" s="1"/>
  <c r="BQ65" i="10" s="1"/>
  <c r="BH67" i="10"/>
  <c r="BH68" i="10" s="1"/>
  <c r="BH36" i="10"/>
  <c r="BH37" i="10" s="1"/>
  <c r="BH15" i="10"/>
  <c r="BH69" i="10" l="1"/>
  <c r="BP56" i="10"/>
  <c r="BP59" i="10" s="1"/>
  <c r="BQ50" i="10"/>
  <c r="BQ53" i="10" s="1"/>
  <c r="BQ58" i="10" s="1"/>
  <c r="BR49" i="10" s="1"/>
  <c r="BQ54" i="10"/>
  <c r="BH41" i="10"/>
  <c r="BH71" i="10"/>
  <c r="BH72" i="10" s="1"/>
  <c r="BH39" i="10"/>
  <c r="BQ56" i="10" l="1"/>
  <c r="BR65" i="10"/>
  <c r="BR50" i="10"/>
  <c r="BR54" i="10"/>
  <c r="BH74" i="10"/>
  <c r="BH42" i="10"/>
  <c r="BH76" i="10" s="1"/>
  <c r="BI32" i="10"/>
  <c r="BH75" i="10"/>
  <c r="BR53" i="10" l="1"/>
  <c r="BR58" i="10" s="1"/>
  <c r="BS49" i="10" s="1"/>
  <c r="BS54" i="10" s="1"/>
  <c r="BQ59" i="10"/>
  <c r="BI63" i="10"/>
  <c r="BI64" i="10"/>
  <c r="BI33" i="10"/>
  <c r="BR56" i="10" l="1"/>
  <c r="BR59" i="10" s="1"/>
  <c r="BS50" i="10"/>
  <c r="BS65" i="10"/>
  <c r="BI15" i="10"/>
  <c r="BI67" i="10"/>
  <c r="BI68" i="10" s="1"/>
  <c r="BI36" i="10"/>
  <c r="BI69" i="10" l="1"/>
  <c r="BI39" i="10"/>
  <c r="BI74" i="10" s="1"/>
  <c r="BI37" i="10"/>
  <c r="BS53" i="10"/>
  <c r="BS58" i="10" s="1"/>
  <c r="BT49" i="10" s="1"/>
  <c r="BT65" i="10" s="1"/>
  <c r="BI41" i="10"/>
  <c r="BI71" i="10"/>
  <c r="BI72" i="10" s="1"/>
  <c r="BI42" i="10" l="1"/>
  <c r="BI76" i="10" s="1"/>
  <c r="BT50" i="10"/>
  <c r="BT54" i="10"/>
  <c r="BS56" i="10"/>
  <c r="BS59" i="10" s="1"/>
  <c r="BJ32" i="10"/>
  <c r="BI75" i="10"/>
  <c r="BT53" i="10" l="1"/>
  <c r="BT58" i="10" s="1"/>
  <c r="BU49" i="10" s="1"/>
  <c r="BU65" i="10" s="1"/>
  <c r="BJ63" i="10"/>
  <c r="BJ64" i="10"/>
  <c r="BJ33" i="10"/>
  <c r="BU54" i="10" l="1"/>
  <c r="BU50" i="10"/>
  <c r="BT56" i="10"/>
  <c r="BT59" i="10" s="1"/>
  <c r="BJ15" i="10"/>
  <c r="BJ67" i="10"/>
  <c r="BJ68" i="10" s="1"/>
  <c r="BJ36" i="10"/>
  <c r="BU53" i="10" l="1"/>
  <c r="BU58" i="10" s="1"/>
  <c r="BV49" i="10" s="1"/>
  <c r="BV65" i="10" s="1"/>
  <c r="BJ69" i="10"/>
  <c r="BJ39" i="10"/>
  <c r="BJ74" i="10" s="1"/>
  <c r="BJ37" i="10"/>
  <c r="BU56" i="10"/>
  <c r="BU59" i="10" s="1"/>
  <c r="BJ41" i="10"/>
  <c r="BJ71" i="10"/>
  <c r="BJ72" i="10" s="1"/>
  <c r="BV54" i="10" l="1"/>
  <c r="BV50" i="10"/>
  <c r="BV53" i="10"/>
  <c r="BV58" i="10" s="1"/>
  <c r="BW49" i="10" s="1"/>
  <c r="BW50" i="10" s="1"/>
  <c r="BJ42" i="10"/>
  <c r="BJ76" i="10" s="1"/>
  <c r="BK32" i="10"/>
  <c r="BJ75" i="10"/>
  <c r="BW54" i="10" l="1"/>
  <c r="BW65" i="10"/>
  <c r="BV56" i="10"/>
  <c r="BW53" i="10" s="1"/>
  <c r="BW58" i="10" s="1"/>
  <c r="BX49" i="10" s="1"/>
  <c r="BK63" i="10"/>
  <c r="BK64" i="10"/>
  <c r="BK33" i="10"/>
  <c r="BV59" i="10" l="1"/>
  <c r="BW56" i="10"/>
  <c r="BX65" i="10"/>
  <c r="BX54" i="10"/>
  <c r="BX50" i="10"/>
  <c r="BK15" i="10"/>
  <c r="BK67" i="10"/>
  <c r="BK68" i="10" s="1"/>
  <c r="BK36" i="10"/>
  <c r="BK39" i="10" l="1"/>
  <c r="BK74" i="10" s="1"/>
  <c r="BK37" i="10"/>
  <c r="BK69" i="10"/>
  <c r="BX53" i="10"/>
  <c r="BX58" i="10" s="1"/>
  <c r="BY49" i="10" s="1"/>
  <c r="BW59" i="10"/>
  <c r="BK41" i="10"/>
  <c r="BK71" i="10"/>
  <c r="BK72" i="10" s="1"/>
  <c r="BK42" i="10" l="1"/>
  <c r="BK76" i="10" s="1"/>
  <c r="BX56" i="10"/>
  <c r="BX59" i="10" s="1"/>
  <c r="BY65" i="10"/>
  <c r="BY50" i="10"/>
  <c r="BY54" i="10"/>
  <c r="BL32" i="10"/>
  <c r="BK75" i="10"/>
  <c r="BY53" i="10" l="1"/>
  <c r="BY58" i="10" s="1"/>
  <c r="BZ49" i="10" s="1"/>
  <c r="BL64" i="10"/>
  <c r="BL63" i="10"/>
  <c r="BL33" i="10"/>
  <c r="BY56" i="10" l="1"/>
  <c r="BY59" i="10" s="1"/>
  <c r="BZ65" i="10"/>
  <c r="BZ54" i="10"/>
  <c r="BZ50" i="10"/>
  <c r="BL67" i="10"/>
  <c r="BL68" i="10" s="1"/>
  <c r="BL36" i="10"/>
  <c r="BL37" i="10" s="1"/>
  <c r="BL69" i="10"/>
  <c r="BL15" i="10"/>
  <c r="BZ53" i="10" l="1"/>
  <c r="BZ58" i="10" s="1"/>
  <c r="CA49" i="10" s="1"/>
  <c r="BL41" i="10"/>
  <c r="BL71" i="10"/>
  <c r="BL72" i="10" s="1"/>
  <c r="BL39" i="10"/>
  <c r="BZ56" i="10" l="1"/>
  <c r="BZ59" i="10" s="1"/>
  <c r="CA65" i="10"/>
  <c r="CA54" i="10"/>
  <c r="CA50" i="10"/>
  <c r="BL74" i="10"/>
  <c r="BL42" i="10"/>
  <c r="BL76" i="10" s="1"/>
  <c r="BM32" i="10"/>
  <c r="BL75" i="10"/>
  <c r="CA53" i="10" l="1"/>
  <c r="CA58" i="10" s="1"/>
  <c r="CB49" i="10" s="1"/>
  <c r="BM63" i="10"/>
  <c r="BM64" i="10"/>
  <c r="BM33" i="10"/>
  <c r="CB65" i="10" l="1"/>
  <c r="CB54" i="10"/>
  <c r="CB50" i="10"/>
  <c r="CA56" i="10"/>
  <c r="BM15" i="10"/>
  <c r="BM67" i="10"/>
  <c r="BM68" i="10" s="1"/>
  <c r="BM36" i="10"/>
  <c r="BM69" i="10" l="1"/>
  <c r="BM39" i="10"/>
  <c r="BM42" i="10" s="1"/>
  <c r="BM76" i="10" s="1"/>
  <c r="BM37" i="10"/>
  <c r="CA59" i="10"/>
  <c r="CB53" i="10"/>
  <c r="CB58" i="10" s="1"/>
  <c r="CC49" i="10" s="1"/>
  <c r="BM41" i="10"/>
  <c r="BM71" i="10"/>
  <c r="BM72" i="10" s="1"/>
  <c r="BM74" i="10" l="1"/>
  <c r="CB56" i="10"/>
  <c r="CB59" i="10" s="1"/>
  <c r="CC65" i="10"/>
  <c r="CC54" i="10"/>
  <c r="CC50" i="10"/>
  <c r="BN32" i="10"/>
  <c r="BM75" i="10"/>
  <c r="CC53" i="10" l="1"/>
  <c r="CC58" i="10" s="1"/>
  <c r="CD49" i="10" s="1"/>
  <c r="CD65" i="10" s="1"/>
  <c r="BN63" i="10"/>
  <c r="BN64" i="10"/>
  <c r="BN33" i="10"/>
  <c r="CD50" i="10" l="1"/>
  <c r="CC56" i="10"/>
  <c r="CC59" i="10" s="1"/>
  <c r="CD54" i="10"/>
  <c r="BN67" i="10"/>
  <c r="BN68" i="10" s="1"/>
  <c r="BN36" i="10"/>
  <c r="BN37" i="10" s="1"/>
  <c r="BN15" i="10"/>
  <c r="BN69" i="10" l="1"/>
  <c r="CD53" i="10"/>
  <c r="CD58" i="10" s="1"/>
  <c r="CE49" i="10" s="1"/>
  <c r="CE65" i="10" s="1"/>
  <c r="BN41" i="10"/>
  <c r="BN71" i="10"/>
  <c r="BN72" i="10" s="1"/>
  <c r="BN39" i="10"/>
  <c r="CD56" i="10" l="1"/>
  <c r="CD59" i="10" s="1"/>
  <c r="CE50" i="10"/>
  <c r="CE54" i="10"/>
  <c r="BN74" i="10"/>
  <c r="BN42" i="10"/>
  <c r="BN76" i="10" s="1"/>
  <c r="BO32" i="10"/>
  <c r="BN75" i="10"/>
  <c r="CE53" i="10" l="1"/>
  <c r="CE58" i="10" s="1"/>
  <c r="CF49" i="10" s="1"/>
  <c r="CF54" i="10" s="1"/>
  <c r="BO63" i="10"/>
  <c r="BO64" i="10"/>
  <c r="BO33" i="10"/>
  <c r="CF50" i="10" l="1"/>
  <c r="CF65" i="10"/>
  <c r="CE56" i="10"/>
  <c r="CE59" i="10" s="1"/>
  <c r="BO67" i="10"/>
  <c r="BO68" i="10" s="1"/>
  <c r="BO36" i="10"/>
  <c r="BO37" i="10" s="1"/>
  <c r="BO15" i="10"/>
  <c r="CF53" i="10" l="1"/>
  <c r="CF58" i="10" s="1"/>
  <c r="CG49" i="10" s="1"/>
  <c r="CG50" i="10" s="1"/>
  <c r="BO69" i="10"/>
  <c r="BO41" i="10"/>
  <c r="BO71" i="10"/>
  <c r="BO72" i="10" s="1"/>
  <c r="BO39" i="10"/>
  <c r="CG65" i="10" l="1"/>
  <c r="CG54" i="10"/>
  <c r="CF56" i="10"/>
  <c r="CF59" i="10" s="1"/>
  <c r="BO74" i="10"/>
  <c r="BO42" i="10"/>
  <c r="BO76" i="10" s="1"/>
  <c r="BP32" i="10"/>
  <c r="BO75" i="10"/>
  <c r="CG53" i="10" l="1"/>
  <c r="CG58" i="10" s="1"/>
  <c r="CH49" i="10" s="1"/>
  <c r="CH65" i="10" s="1"/>
  <c r="BP64" i="10"/>
  <c r="BP63" i="10"/>
  <c r="BP33" i="10"/>
  <c r="CH50" i="10" l="1"/>
  <c r="CG56" i="10"/>
  <c r="CG59" i="10" s="1"/>
  <c r="CH54" i="10"/>
  <c r="CH53" i="10"/>
  <c r="CH58" i="10" s="1"/>
  <c r="BP67" i="10"/>
  <c r="BP68" i="10" s="1"/>
  <c r="BP36" i="10"/>
  <c r="BP37" i="10" s="1"/>
  <c r="BP15" i="10"/>
  <c r="BP69" i="10" l="1"/>
  <c r="CH56" i="10"/>
  <c r="CH59" i="10" s="1"/>
  <c r="BP41" i="10"/>
  <c r="BP71" i="10"/>
  <c r="BP72" i="10" s="1"/>
  <c r="BP39" i="10"/>
  <c r="BP74" i="10" l="1"/>
  <c r="BP42" i="10"/>
  <c r="BP76" i="10" s="1"/>
  <c r="BQ32" i="10"/>
  <c r="BP75" i="10"/>
  <c r="BQ63" i="10" l="1"/>
  <c r="BQ64" i="10"/>
  <c r="BQ33" i="10"/>
  <c r="BQ15" i="10" l="1"/>
  <c r="BQ67" i="10"/>
  <c r="BQ68" i="10" s="1"/>
  <c r="BQ36" i="10"/>
  <c r="BQ39" i="10" l="1"/>
  <c r="BQ74" i="10" s="1"/>
  <c r="BQ37" i="10"/>
  <c r="BQ69" i="10"/>
  <c r="BQ41" i="10"/>
  <c r="BQ71" i="10"/>
  <c r="BQ72" i="10" s="1"/>
  <c r="BQ42" i="10" l="1"/>
  <c r="BQ76" i="10" s="1"/>
  <c r="BR32" i="10"/>
  <c r="BQ75" i="10"/>
  <c r="BR63" i="10" l="1"/>
  <c r="BR64" i="10"/>
  <c r="BR33" i="10"/>
  <c r="BR67" i="10" l="1"/>
  <c r="BR68" i="10" s="1"/>
  <c r="BR36" i="10"/>
  <c r="BR37" i="10" s="1"/>
  <c r="BR15" i="10"/>
  <c r="BR69" i="10" l="1"/>
  <c r="BR41" i="10"/>
  <c r="BR71" i="10"/>
  <c r="BR72" i="10" s="1"/>
  <c r="BR39" i="10"/>
  <c r="BR74" i="10" l="1"/>
  <c r="BR42" i="10"/>
  <c r="BR76" i="10" s="1"/>
  <c r="BS32" i="10"/>
  <c r="BR75" i="10"/>
  <c r="BS63" i="10" l="1"/>
  <c r="BS64" i="10"/>
  <c r="BS33" i="10"/>
  <c r="BS15" i="10" l="1"/>
  <c r="BS67" i="10"/>
  <c r="BS68" i="10" s="1"/>
  <c r="BS36" i="10"/>
  <c r="BS69" i="10" l="1"/>
  <c r="BS39" i="10"/>
  <c r="BS74" i="10" s="1"/>
  <c r="BS37" i="10"/>
  <c r="BS41" i="10"/>
  <c r="BS71" i="10"/>
  <c r="BS72" i="10" s="1"/>
  <c r="BS42" i="10" l="1"/>
  <c r="BS76" i="10" s="1"/>
  <c r="BT32" i="10"/>
  <c r="BS75" i="10"/>
  <c r="BT64" i="10" l="1"/>
  <c r="BT63" i="10"/>
  <c r="BT33" i="10"/>
  <c r="BT67" i="10" l="1"/>
  <c r="BT68" i="10" s="1"/>
  <c r="BT36" i="10"/>
  <c r="BT37" i="10" s="1"/>
  <c r="BT69" i="10"/>
  <c r="BT15" i="10"/>
  <c r="BT41" i="10" l="1"/>
  <c r="BT71" i="10"/>
  <c r="BT72" i="10" s="1"/>
  <c r="BT39" i="10"/>
  <c r="BT74" i="10" l="1"/>
  <c r="BT42" i="10"/>
  <c r="BT76" i="10" s="1"/>
  <c r="BU32" i="10"/>
  <c r="BT75" i="10"/>
  <c r="BU63" i="10" l="1"/>
  <c r="BU64" i="10"/>
  <c r="BU33" i="10"/>
  <c r="BU15" i="10" l="1"/>
  <c r="BU67" i="10"/>
  <c r="BU68" i="10" s="1"/>
  <c r="BU36" i="10"/>
  <c r="BU39" i="10" l="1"/>
  <c r="BU74" i="10" s="1"/>
  <c r="BU37" i="10"/>
  <c r="BU69" i="10"/>
  <c r="BU41" i="10"/>
  <c r="BU71" i="10"/>
  <c r="BU72" i="10" s="1"/>
  <c r="BU42" i="10" l="1"/>
  <c r="BU76" i="10" s="1"/>
  <c r="BV32" i="10"/>
  <c r="BU75" i="10"/>
  <c r="BV63" i="10" l="1"/>
  <c r="BV64" i="10"/>
  <c r="BV33" i="10"/>
  <c r="BV15" i="10" l="1"/>
  <c r="BV67" i="10"/>
  <c r="BV68" i="10" s="1"/>
  <c r="BV36" i="10"/>
  <c r="BV39" i="10" l="1"/>
  <c r="BV74" i="10" s="1"/>
  <c r="BV37" i="10"/>
  <c r="BV69" i="10"/>
  <c r="BV41" i="10"/>
  <c r="BV71" i="10"/>
  <c r="BV72" i="10" s="1"/>
  <c r="BV42" i="10" l="1"/>
  <c r="BV76" i="10" s="1"/>
  <c r="BW32" i="10"/>
  <c r="BV75" i="10"/>
  <c r="BW63" i="10" l="1"/>
  <c r="BW64" i="10"/>
  <c r="BW33" i="10"/>
  <c r="BW67" i="10" l="1"/>
  <c r="BW68" i="10" s="1"/>
  <c r="BW36" i="10"/>
  <c r="BW37" i="10" s="1"/>
  <c r="BW69" i="10"/>
  <c r="BW15" i="10"/>
  <c r="BW41" i="10" l="1"/>
  <c r="BW71" i="10"/>
  <c r="BW72" i="10" s="1"/>
  <c r="BW39" i="10"/>
  <c r="BW74" i="10" l="1"/>
  <c r="BW42" i="10"/>
  <c r="BW76" i="10" s="1"/>
  <c r="BX32" i="10"/>
  <c r="BW75" i="10"/>
  <c r="BX64" i="10" l="1"/>
  <c r="BX63" i="10"/>
  <c r="BX33" i="10"/>
  <c r="BX67" i="10" l="1"/>
  <c r="BX68" i="10" s="1"/>
  <c r="BX36" i="10"/>
  <c r="BX37" i="10" s="1"/>
  <c r="BX15" i="10"/>
  <c r="BX69" i="10" l="1"/>
  <c r="BX41" i="10"/>
  <c r="BX71" i="10"/>
  <c r="BX72" i="10" s="1"/>
  <c r="BX39" i="10"/>
  <c r="BX74" i="10" l="1"/>
  <c r="BX42" i="10"/>
  <c r="BX76" i="10" s="1"/>
  <c r="BY32" i="10"/>
  <c r="BX75" i="10"/>
  <c r="BY63" i="10" l="1"/>
  <c r="BY64" i="10"/>
  <c r="BY33" i="10"/>
  <c r="BY67" i="10" l="1"/>
  <c r="BY68" i="10" s="1"/>
  <c r="BY36" i="10"/>
  <c r="BY37" i="10" s="1"/>
  <c r="BY15" i="10"/>
  <c r="BY69" i="10" l="1"/>
  <c r="BY41" i="10"/>
  <c r="BY71" i="10"/>
  <c r="BY72" i="10" s="1"/>
  <c r="BY39" i="10"/>
  <c r="BY74" i="10" l="1"/>
  <c r="BY42" i="10"/>
  <c r="BY76" i="10" s="1"/>
  <c r="BZ32" i="10"/>
  <c r="BY75" i="10"/>
  <c r="BZ63" i="10" l="1"/>
  <c r="BZ64" i="10"/>
  <c r="BZ33" i="10"/>
  <c r="BZ67" i="10" l="1"/>
  <c r="BZ68" i="10" s="1"/>
  <c r="BZ36" i="10"/>
  <c r="BZ37" i="10" s="1"/>
  <c r="BZ15" i="10"/>
  <c r="BZ69" i="10" l="1"/>
  <c r="BZ41" i="10"/>
  <c r="BZ71" i="10"/>
  <c r="BZ72" i="10" s="1"/>
  <c r="BZ39" i="10"/>
  <c r="BZ74" i="10" l="1"/>
  <c r="BZ42" i="10"/>
  <c r="BZ76" i="10" s="1"/>
  <c r="CA32" i="10"/>
  <c r="BZ75" i="10"/>
  <c r="CA63" i="10" l="1"/>
  <c r="CA64" i="10"/>
  <c r="CA33" i="10"/>
  <c r="CA67" i="10" l="1"/>
  <c r="CA68" i="10" s="1"/>
  <c r="CA36" i="10"/>
  <c r="CA37" i="10" s="1"/>
  <c r="CA15" i="10"/>
  <c r="CA69" i="10" l="1"/>
  <c r="CA41" i="10"/>
  <c r="CA71" i="10"/>
  <c r="CA72" i="10" s="1"/>
  <c r="CA39" i="10"/>
  <c r="CA74" i="10" l="1"/>
  <c r="CA42" i="10"/>
  <c r="CA76" i="10" s="1"/>
  <c r="CB32" i="10"/>
  <c r="CA75" i="10"/>
  <c r="CB64" i="10" l="1"/>
  <c r="CB63" i="10"/>
  <c r="CB33" i="10"/>
  <c r="CB67" i="10" l="1"/>
  <c r="CB68" i="10" s="1"/>
  <c r="CB36" i="10"/>
  <c r="CB37" i="10" s="1"/>
  <c r="CB69" i="10"/>
  <c r="CB15" i="10"/>
  <c r="CB41" i="10" l="1"/>
  <c r="CB71" i="10"/>
  <c r="CB72" i="10" s="1"/>
  <c r="CB39" i="10"/>
  <c r="CB74" i="10" l="1"/>
  <c r="CB42" i="10"/>
  <c r="CB76" i="10" s="1"/>
  <c r="CC32" i="10"/>
  <c r="CB75" i="10"/>
  <c r="CC63" i="10" l="1"/>
  <c r="CC64" i="10"/>
  <c r="CC33" i="10"/>
  <c r="CC67" i="10" l="1"/>
  <c r="CC68" i="10" s="1"/>
  <c r="CC36" i="10"/>
  <c r="CC37" i="10" s="1"/>
  <c r="CC69" i="10"/>
  <c r="CC15" i="10"/>
  <c r="CC41" i="10" l="1"/>
  <c r="CC71" i="10"/>
  <c r="CC72" i="10" s="1"/>
  <c r="CC39" i="10"/>
  <c r="CC74" i="10" l="1"/>
  <c r="CC42" i="10"/>
  <c r="CC76" i="10" s="1"/>
  <c r="CD32" i="10"/>
  <c r="CC75" i="10"/>
  <c r="CD63" i="10" l="1"/>
  <c r="CD64" i="10"/>
  <c r="CD33" i="10"/>
  <c r="CD67" i="10" l="1"/>
  <c r="CD68" i="10" s="1"/>
  <c r="CD36" i="10"/>
  <c r="CD37" i="10" s="1"/>
  <c r="CD15" i="10"/>
  <c r="CD69" i="10" l="1"/>
  <c r="CD41" i="10"/>
  <c r="CD71" i="10"/>
  <c r="CD72" i="10" s="1"/>
  <c r="CD39" i="10"/>
  <c r="CD74" i="10" l="1"/>
  <c r="CD42" i="10"/>
  <c r="CD76" i="10" s="1"/>
  <c r="CE32" i="10"/>
  <c r="CD75" i="10"/>
  <c r="CE63" i="10" l="1"/>
  <c r="CE64" i="10"/>
  <c r="CE33" i="10"/>
  <c r="CE67" i="10" l="1"/>
  <c r="CE68" i="10" s="1"/>
  <c r="CE36" i="10"/>
  <c r="CE37" i="10" s="1"/>
  <c r="CE15" i="10"/>
  <c r="CE69" i="10" l="1"/>
  <c r="CE41" i="10"/>
  <c r="CE71" i="10"/>
  <c r="CE72" i="10" s="1"/>
  <c r="CE39" i="10"/>
  <c r="CE74" i="10" l="1"/>
  <c r="CE42" i="10"/>
  <c r="CE76" i="10" s="1"/>
  <c r="CF32" i="10"/>
  <c r="CE75" i="10"/>
  <c r="CF64" i="10" l="1"/>
  <c r="CF63" i="10"/>
  <c r="CF33" i="10"/>
  <c r="CF67" i="10" l="1"/>
  <c r="CF68" i="10" s="1"/>
  <c r="CF36" i="10"/>
  <c r="CF37" i="10" s="1"/>
  <c r="CF69" i="10"/>
  <c r="CF15" i="10"/>
  <c r="CF41" i="10" l="1"/>
  <c r="CF71" i="10"/>
  <c r="CF72" i="10" s="1"/>
  <c r="CF39" i="10"/>
  <c r="CF74" i="10" l="1"/>
  <c r="CF42" i="10"/>
  <c r="CF76" i="10" s="1"/>
  <c r="CG32" i="10"/>
  <c r="CF75" i="10"/>
  <c r="CG63" i="10" l="1"/>
  <c r="CG64" i="10"/>
  <c r="CG33" i="10"/>
  <c r="CG67" i="10" l="1"/>
  <c r="CG68" i="10" s="1"/>
  <c r="CG36" i="10"/>
  <c r="CG37" i="10" s="1"/>
  <c r="CG15" i="10"/>
  <c r="CG69" i="10" l="1"/>
  <c r="CG41" i="10"/>
  <c r="CG71" i="10"/>
  <c r="CG72" i="10" s="1"/>
  <c r="CG39" i="10"/>
  <c r="CG74" i="10" l="1"/>
  <c r="CG42" i="10"/>
  <c r="CG76" i="10" s="1"/>
  <c r="CH32" i="10"/>
  <c r="CG75" i="10"/>
  <c r="CH63" i="10" l="1"/>
  <c r="CH64" i="10"/>
  <c r="CH33" i="10"/>
  <c r="CH15" i="10" l="1"/>
  <c r="CH67" i="10"/>
  <c r="CH68" i="10" s="1"/>
  <c r="CH36" i="10"/>
  <c r="CH69" i="10" l="1"/>
  <c r="CH39" i="10"/>
  <c r="CH42" i="10" s="1"/>
  <c r="CH76" i="10" s="1"/>
  <c r="C5" i="40" s="1"/>
  <c r="CH37" i="10"/>
  <c r="CH41" i="10"/>
  <c r="CH75" i="10" s="1"/>
  <c r="CH71" i="10"/>
  <c r="CH72" i="10" s="1"/>
  <c r="F5" i="40" l="1"/>
  <c r="F6" i="40" s="1"/>
  <c r="F19" i="40" s="1"/>
  <c r="C6" i="40"/>
  <c r="C7" i="40" s="1"/>
  <c r="CH74" i="10"/>
  <c r="E10" i="26" l="1"/>
  <c r="F12" i="40"/>
  <c r="F11" i="40"/>
  <c r="F20" i="40" s="1"/>
  <c r="F9" i="40"/>
  <c r="F18" i="40" s="1"/>
  <c r="F21" i="40"/>
  <c r="F8" i="36" l="1"/>
  <c r="G8" i="36" s="1"/>
  <c r="F10" i="40"/>
  <c r="F13" i="40" s="1"/>
  <c r="F22" i="40"/>
  <c r="F24" i="40" s="1"/>
  <c r="F14" i="40" s="1"/>
  <c r="F15" i="40" l="1"/>
  <c r="F11" i="36" l="1"/>
  <c r="G11" i="36" s="1"/>
</calcChain>
</file>

<file path=xl/sharedStrings.xml><?xml version="1.0" encoding="utf-8"?>
<sst xmlns="http://schemas.openxmlformats.org/spreadsheetml/2006/main" count="725" uniqueCount="423">
  <si>
    <t>Investition</t>
  </si>
  <si>
    <t>Kaufpreis</t>
  </si>
  <si>
    <t>pro qm</t>
  </si>
  <si>
    <t>Kaufnebenkosten</t>
  </si>
  <si>
    <t>Makler</t>
  </si>
  <si>
    <t>Notar</t>
  </si>
  <si>
    <t>Grunderwerbssteuer</t>
  </si>
  <si>
    <t>Summe</t>
  </si>
  <si>
    <t>Sonstige</t>
  </si>
  <si>
    <t>Gesamtinvestitionskosten</t>
  </si>
  <si>
    <t>Sonstiges</t>
  </si>
  <si>
    <t>Wohnfläche</t>
  </si>
  <si>
    <t>Anfängliche Investitionen</t>
  </si>
  <si>
    <t>Warmmiete</t>
  </si>
  <si>
    <t>Kaufpreis pro qm</t>
  </si>
  <si>
    <t>Nettokaltmiete pro Jahr</t>
  </si>
  <si>
    <t>Soll-Miete pro Monat</t>
  </si>
  <si>
    <t>Bruttomietrendite</t>
  </si>
  <si>
    <t>Nettomietrendite</t>
  </si>
  <si>
    <t>Bewirtschaftungskosten pro Monat</t>
  </si>
  <si>
    <t>Faktor</t>
  </si>
  <si>
    <t>Finanzierung</t>
  </si>
  <si>
    <t>Darlehen I</t>
  </si>
  <si>
    <t>Darlehenssumme</t>
  </si>
  <si>
    <t>Zinssatz</t>
  </si>
  <si>
    <t>Anfängliche Tilgung</t>
  </si>
  <si>
    <t>Kapitaldienst pro Monat</t>
  </si>
  <si>
    <t>Darlehen II</t>
  </si>
  <si>
    <t>Eigenkapital</t>
  </si>
  <si>
    <t>Zinssatz gewichtet</t>
  </si>
  <si>
    <t>Anfängliche Tilgung gewichtet</t>
  </si>
  <si>
    <t>- Bewirtschaftungskosten</t>
  </si>
  <si>
    <t>= Cashflow operativ</t>
  </si>
  <si>
    <t>- Zinsen</t>
  </si>
  <si>
    <t>- Tilgung</t>
  </si>
  <si>
    <t>Eigenkapitalrendite p.a.</t>
  </si>
  <si>
    <t>Cashflow operativ</t>
  </si>
  <si>
    <t>AfA Satz</t>
  </si>
  <si>
    <t>= zu versteuernder Cashflow</t>
  </si>
  <si>
    <t>Nebenrechnung Steuer (Monatsbasis)</t>
  </si>
  <si>
    <t>- Steuern</t>
  </si>
  <si>
    <t>= Steuern</t>
  </si>
  <si>
    <t>= Cashflow nach Steuern</t>
  </si>
  <si>
    <t>Restschuld Periodenbeginn</t>
  </si>
  <si>
    <t>Zinsen</t>
  </si>
  <si>
    <t>Tilgung</t>
  </si>
  <si>
    <t>Annuität</t>
  </si>
  <si>
    <t>€</t>
  </si>
  <si>
    <t>Restschuld Periodenende</t>
  </si>
  <si>
    <t>Zinsänderung</t>
  </si>
  <si>
    <t>Gültiger Zinssatz</t>
  </si>
  <si>
    <t>= gewichteter Zinssatz</t>
  </si>
  <si>
    <t>= Netto-Vermögen</t>
  </si>
  <si>
    <t>Neue Soll-Tilgung</t>
  </si>
  <si>
    <t>Effektive Tilgung</t>
  </si>
  <si>
    <t>entspricht % der Restschuld</t>
  </si>
  <si>
    <t>Monatl. Zinsen für CF 0 nach Steuern</t>
  </si>
  <si>
    <t>= Zinssatz gewichtet (p.a.)</t>
  </si>
  <si>
    <t>= kumuliert</t>
  </si>
  <si>
    <t>Wertentwicklung</t>
  </si>
  <si>
    <t>Kalkulatorischer Mietausfall</t>
  </si>
  <si>
    <t>Einnahmen</t>
  </si>
  <si>
    <t>Ausgaben</t>
  </si>
  <si>
    <t>Einmalige Sondertilgung</t>
  </si>
  <si>
    <t>Wert der Immobilie (Jahresanfang)</t>
  </si>
  <si>
    <t>Nettovermögen (Wert - Restschuld) (Jahresanfang)</t>
  </si>
  <si>
    <t>= Warmmiete</t>
  </si>
  <si>
    <t>Grün</t>
  </si>
  <si>
    <t>Rot</t>
  </si>
  <si>
    <t>Gelb</t>
  </si>
  <si>
    <t>Schwellwerte für Kennzahlen-Farben</t>
  </si>
  <si>
    <t>Eigenkapitalrendite</t>
  </si>
  <si>
    <t>Cashflow nach Steuern</t>
  </si>
  <si>
    <t>Kennzahl</t>
  </si>
  <si>
    <t>Aktivieren</t>
  </si>
  <si>
    <t>Basis für langfristige Abschreibung</t>
  </si>
  <si>
    <t>Zusätzl. Investitionsbedarf</t>
  </si>
  <si>
    <t>Nettokaltmiete</t>
  </si>
  <si>
    <t>Bewirtschaftungskosten</t>
  </si>
  <si>
    <t>= monatlicher Cashflow</t>
  </si>
  <si>
    <t>Rentabilität</t>
  </si>
  <si>
    <t>Erwartete Mieteinkünfte</t>
  </si>
  <si>
    <t>Kaufpreis Multiplikator</t>
  </si>
  <si>
    <t>Annahme Zinsen</t>
  </si>
  <si>
    <t>Monatlicher Cashflow (Jahr 1)</t>
  </si>
  <si>
    <t>Objektdetails</t>
  </si>
  <si>
    <t>Kapitalbedarf</t>
  </si>
  <si>
    <t>Einnahme</t>
  </si>
  <si>
    <t>Ausgabe</t>
  </si>
  <si>
    <t>+ Sonstiges</t>
  </si>
  <si>
    <t>Umlagefähig</t>
  </si>
  <si>
    <t>Grundsteuer</t>
  </si>
  <si>
    <t>Hausgeld insgesamt</t>
  </si>
  <si>
    <t>Cashflow pro Monat (Überschuss)</t>
  </si>
  <si>
    <t>Wertentwicklung im Jahr</t>
  </si>
  <si>
    <t>ohne Wertsteigerung</t>
  </si>
  <si>
    <t>Nicht umlagefähig</t>
  </si>
  <si>
    <t>Insgesamt</t>
  </si>
  <si>
    <t>+ Umlagefähige Kosten</t>
  </si>
  <si>
    <t>Hochrechnung für das Jahr</t>
  </si>
  <si>
    <t>Kennzahlen in der Zukunft</t>
  </si>
  <si>
    <t>entspricht Jahre nach dem Kauf</t>
  </si>
  <si>
    <t>Jahr der Volltilgung</t>
  </si>
  <si>
    <t>Rücklagen</t>
  </si>
  <si>
    <t>Steuern</t>
  </si>
  <si>
    <t>Kostensteigerung p.a.</t>
  </si>
  <si>
    <t>Mietsteigerung p.a.</t>
  </si>
  <si>
    <t>Wertsteigerung p.a.</t>
  </si>
  <si>
    <t>Anteil Gebäude an Kaufpreis</t>
  </si>
  <si>
    <t>Was</t>
  </si>
  <si>
    <t>Kosten</t>
  </si>
  <si>
    <t>Steuerlich</t>
  </si>
  <si>
    <t>Wertsteig.</t>
  </si>
  <si>
    <t>Adresse</t>
  </si>
  <si>
    <t>15% Grenze</t>
  </si>
  <si>
    <t>Neuer Wert</t>
  </si>
  <si>
    <t>Investitionsübersicht für das Bankgespräch</t>
  </si>
  <si>
    <t>Diagramme</t>
  </si>
  <si>
    <t>Kennzahlen heute</t>
  </si>
  <si>
    <t>Gesamt-Finanzierung</t>
  </si>
  <si>
    <t>Kaufpreis und Kaufnebenkosten</t>
  </si>
  <si>
    <t>Objekt und Investition</t>
  </si>
  <si>
    <t>Miete, Steuern, Rücklagen</t>
  </si>
  <si>
    <t>Prognose</t>
  </si>
  <si>
    <t>Vermögenszuwachs</t>
  </si>
  <si>
    <t>Zinsänderungsrisiko</t>
  </si>
  <si>
    <t>pro m²</t>
  </si>
  <si>
    <t>entspricht % der Nettokaltmiete</t>
  </si>
  <si>
    <t>Miete und Mietrendite</t>
  </si>
  <si>
    <t>Miete und Wert</t>
  </si>
  <si>
    <t>Vermögenszuwachs p.a.</t>
  </si>
  <si>
    <t>Hausgeld</t>
  </si>
  <si>
    <t>Weitere Kosten</t>
  </si>
  <si>
    <t>Konfiguration</t>
  </si>
  <si>
    <t>Haushaltsrechnung</t>
  </si>
  <si>
    <t>Max Mustermann</t>
  </si>
  <si>
    <t>Stichtag: 01.01.2017</t>
  </si>
  <si>
    <t>Persönliche Angaben</t>
  </si>
  <si>
    <t>Name:</t>
  </si>
  <si>
    <t>Familienstand:</t>
  </si>
  <si>
    <t>Verheiratet</t>
  </si>
  <si>
    <t>Anschrift:</t>
  </si>
  <si>
    <t>Musterstraße 11</t>
  </si>
  <si>
    <t>Güterstand:</t>
  </si>
  <si>
    <t>Gesetzlich</t>
  </si>
  <si>
    <t>12345 Musterstadt</t>
  </si>
  <si>
    <t>Kinder:</t>
  </si>
  <si>
    <t>Keine</t>
  </si>
  <si>
    <t>Einkommensverhältnisse</t>
  </si>
  <si>
    <t>Einkünfte</t>
  </si>
  <si>
    <t>Betrag p.a.</t>
  </si>
  <si>
    <t>mntl.</t>
  </si>
  <si>
    <t>Kommentar</t>
  </si>
  <si>
    <t>Lohn / Gehalt (netto) I</t>
  </si>
  <si>
    <t>Lohn / Gehalt (netto) II</t>
  </si>
  <si>
    <t>Einkünfte aus selbstständiger Arbeit</t>
  </si>
  <si>
    <t>Rente / Pension</t>
  </si>
  <si>
    <t>Miet- / Pachteinnahmen (netto/kalt)</t>
  </si>
  <si>
    <t>Staatliche Leistungen</t>
  </si>
  <si>
    <t>Sonstige Einkünfte</t>
  </si>
  <si>
    <t>Wohnen inkl. Nebenkosten</t>
  </si>
  <si>
    <t>inkl. Strom, Internet, TV etc.</t>
  </si>
  <si>
    <t>Nahrungs- und Genussmittel</t>
  </si>
  <si>
    <t>Anschaffungen</t>
  </si>
  <si>
    <t>inkl. Bekleidung</t>
  </si>
  <si>
    <t>Freizeit, Kultur und Hobby</t>
  </si>
  <si>
    <t>Fitness-Center, Fotografie-Ausstattung</t>
  </si>
  <si>
    <t>Urlaub</t>
  </si>
  <si>
    <t>Mobilität</t>
  </si>
  <si>
    <t>PKW in Eigentum</t>
  </si>
  <si>
    <t>Kommunikation</t>
  </si>
  <si>
    <t>Spenden</t>
  </si>
  <si>
    <t>Laufende Sparverträge</t>
  </si>
  <si>
    <t>Aktienanlage</t>
  </si>
  <si>
    <t>Beiträge zur Altersvorsorge</t>
  </si>
  <si>
    <t>Riester</t>
  </si>
  <si>
    <t>Private Versicherungen</t>
  </si>
  <si>
    <t>BU, Unfall, Risiko-Leben</t>
  </si>
  <si>
    <t>Vermietete Immobilien: Bewirtschaftung</t>
  </si>
  <si>
    <t>nicht umagefähig, inkl. Rücklagen</t>
  </si>
  <si>
    <t>Vermietete Immobilien: Kapitaldienst</t>
  </si>
  <si>
    <t>Ausgaben aus selbstständiger Arbeit</t>
  </si>
  <si>
    <t>Unterhaltszahlungen</t>
  </si>
  <si>
    <t>Haushaltsüberschuss</t>
  </si>
  <si>
    <t>Differenz</t>
  </si>
  <si>
    <t>= Haushaltsüberschuss</t>
  </si>
  <si>
    <t>Vermögensaufstellung</t>
  </si>
  <si>
    <t>Vermögensverhältnisse</t>
  </si>
  <si>
    <t>Vermögensgegenstände</t>
  </si>
  <si>
    <t>Betrag</t>
  </si>
  <si>
    <t>Verpfändet</t>
  </si>
  <si>
    <t>Girokonto Deutsche Bank</t>
  </si>
  <si>
    <t>Nein</t>
  </si>
  <si>
    <t>Girokonto Postbank</t>
  </si>
  <si>
    <t>Ehe-Konto</t>
  </si>
  <si>
    <t>Wertpapier Depot Deutsche Bank</t>
  </si>
  <si>
    <t>aktueller Kurswert</t>
  </si>
  <si>
    <t>Tagesgeldkonto Deutsche Bank</t>
  </si>
  <si>
    <t>Immobilienvermögen</t>
  </si>
  <si>
    <t>siehe separate Übersicht</t>
  </si>
  <si>
    <t>Lebensversicherung Allianz</t>
  </si>
  <si>
    <t>aktueller Rückkaufswert</t>
  </si>
  <si>
    <t>Bausparvertrag Schwäbisch Hall</t>
  </si>
  <si>
    <t>aktuelles Guthaben</t>
  </si>
  <si>
    <t>Verbindlichkeiten</t>
  </si>
  <si>
    <t>Valuta</t>
  </si>
  <si>
    <t>Dispositionskredite</t>
  </si>
  <si>
    <t>keine</t>
  </si>
  <si>
    <t>Konsumkredite</t>
  </si>
  <si>
    <t>Finanzierung PKW</t>
  </si>
  <si>
    <t>Immobiliendarlehen</t>
  </si>
  <si>
    <t>Übernommene Bürgschaften</t>
  </si>
  <si>
    <t>Steuerschulden</t>
  </si>
  <si>
    <t>Um die Bilder zu ändern, klicke mit rechts auf das Bild und wähle "Bild ändern".</t>
  </si>
  <si>
    <t>zur Vorlage: Haushaltsrechnung</t>
  </si>
  <si>
    <t>zur Vorlage: Vermögensübersicht</t>
  </si>
  <si>
    <t>Erhalte bessere Darlehen:</t>
  </si>
  <si>
    <t>Um deiner Bank deine persönlichen finanziellen Verhältnisse darzustellen, kannst du folgende Vorlagen verwenden:</t>
  </si>
  <si>
    <t>Weitere Darlehen</t>
  </si>
  <si>
    <t>Haupt-Darlehen</t>
  </si>
  <si>
    <t>Summe der Darlehen</t>
  </si>
  <si>
    <t>davon Hauptdarlehen (I)</t>
  </si>
  <si>
    <t>+ umlagefähige Kosten</t>
  </si>
  <si>
    <t>Miete pro Monat</t>
  </si>
  <si>
    <t>Kumulierte Abschreibung Jahresende</t>
  </si>
  <si>
    <t>* Abschreibungssatz pro Jahr</t>
  </si>
  <si>
    <t>= Abschreibung pro Jahr</t>
  </si>
  <si>
    <t>= pro Monat</t>
  </si>
  <si>
    <t>Wert der Immobilie (Jahresende)</t>
  </si>
  <si>
    <t>- Abschreibung (AfA)</t>
  </si>
  <si>
    <t>* persönlicher Grenzsteuersatz</t>
  </si>
  <si>
    <t>= Nettokaltmiete (effektiv)</t>
  </si>
  <si>
    <t>davon WEG Rücklage</t>
  </si>
  <si>
    <t>Nicht umlagefähige Kosten</t>
  </si>
  <si>
    <t>Umlagefähige Kosten</t>
  </si>
  <si>
    <t>Hausgeld (nicht umlagefähiger Teil)</t>
  </si>
  <si>
    <t>Hausgeld (umlagefähiger Teil)</t>
  </si>
  <si>
    <t>+ Eigene Instandhaltungsrücklage</t>
  </si>
  <si>
    <t>+ Kalkulatorischer Mietausfall</t>
  </si>
  <si>
    <t>= Summe</t>
  </si>
  <si>
    <t>Empfohlene eigene Instandhalt.-Rückl.</t>
  </si>
  <si>
    <t>Eigene Instandhalt.-Rückl. (pro m² p.a.)</t>
  </si>
  <si>
    <t>Sonstige umlagefähige Kosten (Details)</t>
  </si>
  <si>
    <t>Sonstige nicht umlagefähige Kosten (Details)</t>
  </si>
  <si>
    <t>- Bewirt.-Kosten ohne eigene Rückl.</t>
  </si>
  <si>
    <t>Kostenposition I</t>
  </si>
  <si>
    <t>Kostenposition II</t>
  </si>
  <si>
    <t>Kostenposition III</t>
  </si>
  <si>
    <t>Kostenposition IV</t>
  </si>
  <si>
    <t>Grundbuch Amt</t>
  </si>
  <si>
    <t>Darlehenssumme % Kaufpreis</t>
  </si>
  <si>
    <t>Betrachtungszeitpunkt</t>
  </si>
  <si>
    <t>Bankgespräch</t>
  </si>
  <si>
    <t>Kennzahlen im Verlauf</t>
  </si>
  <si>
    <t>zurück zum Cockpit</t>
  </si>
  <si>
    <t>Cockpit</t>
  </si>
  <si>
    <t xml:space="preserve">Drucke diese Übersicht aus, um deiner Bank dein Investment vorzustellen. Alle Zahlen stammen aus den vorhandenen Berechnungen. Für noch mehr Transparenz drucke auch die Tabelle "Cockpit". So zeigst du, dass du deine Zahlen wirklich im Griff hast und erhöhst deine Chance auf beste Konditionen.
</t>
  </si>
  <si>
    <t>Objekt und Kaufdatum</t>
  </si>
  <si>
    <t>Kaufdatum</t>
  </si>
  <si>
    <t>Kürzel</t>
  </si>
  <si>
    <t>BoEl19</t>
  </si>
  <si>
    <t>Hauptdarlehen</t>
  </si>
  <si>
    <t>Bewirt.-Kosten (nicht umlagefähig)</t>
  </si>
  <si>
    <t>zurück zum Bankgespräch</t>
  </si>
  <si>
    <t>Vorlage: Haushaltsrechnung</t>
  </si>
  <si>
    <t>Vorlage: Vermögensaufstellung</t>
  </si>
  <si>
    <t>pro qm und Monat</t>
  </si>
  <si>
    <t>Nebenkosten</t>
  </si>
  <si>
    <t>Anfängl. Invest.</t>
  </si>
  <si>
    <t>Keine Gewähr für die Richtigkeit der Angaben. Dieses Tool ersetzt keine fundierte Rechts-, Steuer- oder Finanzberatung. Mehr Details hier.</t>
  </si>
  <si>
    <t>davon  Darlehen II</t>
  </si>
  <si>
    <t>Abschreibung</t>
  </si>
  <si>
    <t>Miete, Wert, Abschreibung und Darlehen im Verlauf</t>
  </si>
  <si>
    <t>Tabelle entsperren</t>
  </si>
  <si>
    <t>Profi Funktionen</t>
  </si>
  <si>
    <t>immocation</t>
  </si>
  <si>
    <t>www.immocation.de</t>
  </si>
  <si>
    <t>Bei dieser Excel-Datei handelt es sich um ein kostenpflichtiges Produkt, welches unter der u.s. Internetadresse erworben werden kann.
Die Datei darf ohne Zustimmung weder vervielfältigt, noch weitergegeben oder sonst irgendwie anderen Benutzern zugänglich gemacht werden.
Microsoft Excel ist ein Produkt der Firma Microsoft. Wir stehen in keinerlei rechtlicher Beziehung zu Microsoft und handeln auch nicht in Microsofts Namen.
Wir weisen ausdrücklich darauf hin, dass wir keinerlei Rechts-, Steuer- oder Finanzberatung erbringen und die geschilderte Rechtslage zum Teil zur besseren Verständlichkeit und Lesbarkeit außerdem auch vereinfacht dargestellt wurde. Alle von uns erteilten Ratschläge fußen ausschließlich auf unserer persönlichen Erfahrung und unserer persönlichen Meinung. Auch wenn wir jede unserer Empfehlungen mit größtmöglicher Sorgfalt und umfangreicher Recherche entwickelt und fortlaufend kritisch hinterfragt haben, können wir hierfür keinerlei Gewähr bieten. Gleiches gilt auch für die Vollständigkeit und Richtigkeit der dargestellten Rechtslage. Die erteilten Ratschläge können ferner auch keine fundierte und auf den Einzelfall zugeschnittene Rechts-, Steuer- oder Finanzberatung ersetzen. Wir können daher weder eine Erfolgsgarantie für die von uns abgegebenen Empfehlungen noch eine Haftung für evtl. Folgen ihrer Anwendung übernehmen.
Auch sämtliche Kalkulationstools wurden mit größter Sorgfalt erstellt. Wir haben durch mehrfache Überprüfungen bestmöglich versucht, Berechnungsfehler auszuschließen. Trotzdem können Fehler nicht vollständig ausgeschlossen werden. Daher können wir keine juristische Verantwortung und keinerlei Haftung für eventuell verbliebene Fehler und deren Folgen übernehmen. 
Um etwaige Fehler so weit wie möglich auszuschließen, empfehlen wir dringend und in jedem Fall eigenständige Kontrollrechnungen durchzuführen und ggf. zusätzlichen Fachrat eines Rechts-, Steuer- oder Finanzberaters einzuholen.</t>
  </si>
  <si>
    <t>Roter Faden</t>
  </si>
  <si>
    <t>Weitere Werte</t>
  </si>
  <si>
    <t>Betrachtungszeitpunkt zusätzliche Rente</t>
  </si>
  <si>
    <t>Grunderwerbsteuer</t>
  </si>
  <si>
    <t>Deine Kaufnebenkosten</t>
  </si>
  <si>
    <t>Baden-Württemberg</t>
  </si>
  <si>
    <t>Bayern</t>
  </si>
  <si>
    <t>Berlin</t>
  </si>
  <si>
    <t>Brandenburg</t>
  </si>
  <si>
    <t>Bremen</t>
  </si>
  <si>
    <t>Hamburg</t>
  </si>
  <si>
    <t>Hessen</t>
  </si>
  <si>
    <t>Mecklenburg-Vorpommern</t>
  </si>
  <si>
    <t>Niedersachsen</t>
  </si>
  <si>
    <t>Nordrhein-Westfalen</t>
  </si>
  <si>
    <t>Rheinland-Pfalz</t>
  </si>
  <si>
    <t>Saarland</t>
  </si>
  <si>
    <t>Sachsen</t>
  </si>
  <si>
    <t>Sachsen-Anhalt</t>
  </si>
  <si>
    <t>Schleswig-Holstein</t>
  </si>
  <si>
    <t>Thüringen</t>
  </si>
  <si>
    <t>Bundesland</t>
  </si>
  <si>
    <t>Grunderwerbsteuer nach Bundesländern</t>
  </si>
  <si>
    <t>Maßnahmen sofort</t>
  </si>
  <si>
    <t>Maßnahmen bei Mieterwechsel</t>
  </si>
  <si>
    <t>+ Kaufpreis und Nebenkosten</t>
  </si>
  <si>
    <t>Geplante Sonderumlagen</t>
  </si>
  <si>
    <t>= Kapitalbedarf insgesamt</t>
  </si>
  <si>
    <t>Darlehenshöhe vom Kaufpreis</t>
  </si>
  <si>
    <t>Zinsen pro Jahr</t>
  </si>
  <si>
    <t>Deine Rate an die Bank</t>
  </si>
  <si>
    <t>Dann bist du schuldenfrei</t>
  </si>
  <si>
    <t>So viel Eigenkapitel brauchst du</t>
  </si>
  <si>
    <t>Nicht umlagefähiges Hausgeld</t>
  </si>
  <si>
    <t>Rücklage für Mietausfall</t>
  </si>
  <si>
    <t>Eigene Instandhaltungsrücklage</t>
  </si>
  <si>
    <t>Jedes % mehr kostet</t>
  </si>
  <si>
    <t xml:space="preserve">
</t>
  </si>
  <si>
    <t>Wie viel Grund und Boden gehört zu deiner Wohnung?</t>
  </si>
  <si>
    <t>Kaltmiete</t>
  </si>
  <si>
    <t>Kauf-Datum</t>
  </si>
  <si>
    <t>Gebäudeanteil am Kaufpreis</t>
  </si>
  <si>
    <t>Faktor Wohnraum Grundstück</t>
  </si>
  <si>
    <t>1961-1970</t>
  </si>
  <si>
    <t>Abschreibungssatz</t>
  </si>
  <si>
    <t>Konfigurationsdaten für roten Faden</t>
  </si>
  <si>
    <t>1925-1950</t>
  </si>
  <si>
    <t>vor 1925</t>
  </si>
  <si>
    <t>1951-1960</t>
  </si>
  <si>
    <t>ab 2010</t>
  </si>
  <si>
    <t>2001-2010</t>
  </si>
  <si>
    <t>1991-2000</t>
  </si>
  <si>
    <t>1981-1990</t>
  </si>
  <si>
    <t>1971-1980</t>
  </si>
  <si>
    <t>Kalk. Bodenwert pro m² Grundstück</t>
  </si>
  <si>
    <t>Kalk. Bodenwert</t>
  </si>
  <si>
    <t>Kalk. Gebäudekosten pro m²</t>
  </si>
  <si>
    <t>Kalk. Gebäudekosten</t>
  </si>
  <si>
    <t>Kalk. Grundstücksteil</t>
  </si>
  <si>
    <t>Abschreibung pro Monat</t>
  </si>
  <si>
    <t>Alter</t>
  </si>
  <si>
    <t>Gebäudekosten pro m² Wohnfläche</t>
  </si>
  <si>
    <t>Euro</t>
  </si>
  <si>
    <t>Bodenwert pro m²</t>
  </si>
  <si>
    <t>Kaufpreis / m² Wohnfläche</t>
  </si>
  <si>
    <t>Deine monatliche Steuer</t>
  </si>
  <si>
    <t>Zu versteuerndes Einkommen</t>
  </si>
  <si>
    <t>Veranlagung</t>
  </si>
  <si>
    <t>Kirchensteuer</t>
  </si>
  <si>
    <t>Grenzsteuersatz circa</t>
  </si>
  <si>
    <t>Sonderumlagen</t>
  </si>
  <si>
    <t>Sofort</t>
  </si>
  <si>
    <t>Sofort n. Kauf</t>
  </si>
  <si>
    <t>Garage im Kaufpreis enthalten?</t>
  </si>
  <si>
    <t>Kalk. Geb. Kosten Garage</t>
  </si>
  <si>
    <t>BWK ohne umlagef.</t>
  </si>
  <si>
    <t>Einzeln</t>
  </si>
  <si>
    <t>Kennzahlen anzeigen</t>
  </si>
  <si>
    <t>bitte wählen</t>
  </si>
  <si>
    <t>Schuldenfrei</t>
  </si>
  <si>
    <t>CF vor Steuern</t>
  </si>
  <si>
    <t>Gleiche Rate</t>
  </si>
  <si>
    <t>Wert</t>
  </si>
  <si>
    <t>Darlehen</t>
  </si>
  <si>
    <t>Mietausfall</t>
  </si>
  <si>
    <t>IHR</t>
  </si>
  <si>
    <t>Festschreibung</t>
  </si>
  <si>
    <t>Gebäudetyp</t>
  </si>
  <si>
    <t>Baujahr</t>
  </si>
  <si>
    <t>Garage</t>
  </si>
  <si>
    <t>Anzeigen</t>
  </si>
  <si>
    <t>CF nach Steuern</t>
  </si>
  <si>
    <t>Zusätzliche Rente</t>
  </si>
  <si>
    <t>Gefüllt? -&gt;</t>
  </si>
  <si>
    <t>Einkommen</t>
  </si>
  <si>
    <t>Kirche</t>
  </si>
  <si>
    <t>Wert anzeigen</t>
  </si>
  <si>
    <t>Ermittlung Grenzsteuersatz für roten Faden</t>
  </si>
  <si>
    <t>Grenzsteuersatz für das erhöhte Einkommen</t>
  </si>
  <si>
    <t>Einkommensteuer unter Berücksichtigung der Erhöhung</t>
  </si>
  <si>
    <t>Einkommensteuer vor Erhöhung</t>
  </si>
  <si>
    <t>z-Wert</t>
  </si>
  <si>
    <t>y-Wert</t>
  </si>
  <si>
    <t>x-Wert</t>
  </si>
  <si>
    <t>abgerundetes zvE (mit Erhöhung)</t>
  </si>
  <si>
    <t>zvE (vor Abrundung) mit Erhöhung</t>
  </si>
  <si>
    <t xml:space="preserve">x-Wert </t>
  </si>
  <si>
    <t>Angenommene Erhöhung des zvE</t>
  </si>
  <si>
    <t>Splittingtabelle
2017</t>
  </si>
  <si>
    <t>Grundtabelle
2017</t>
  </si>
  <si>
    <t>zvE abgerundet</t>
  </si>
  <si>
    <t>Grenzsteuersatz inkl. Solidaritätszuschlag</t>
  </si>
  <si>
    <t>Kirchensteuer durchschnittl. 8,5%</t>
  </si>
  <si>
    <t>Position</t>
  </si>
  <si>
    <t>Gemeinsam (verheiratet)</t>
  </si>
  <si>
    <t>Veranlagungsklassen</t>
  </si>
  <si>
    <t>Laut Auswahl roter Faden</t>
  </si>
  <si>
    <t>Nebenrechnung für roten Faden</t>
  </si>
  <si>
    <t xml:space="preserve"> </t>
  </si>
  <si>
    <t>Adresse der Wohnung:</t>
  </si>
  <si>
    <t>Baujahr des Hauses</t>
  </si>
  <si>
    <t>entsprechendes Label</t>
  </si>
  <si>
    <t>Cashflow Farbcode</t>
  </si>
  <si>
    <t>Hinweis EK Mieterwechsel</t>
  </si>
  <si>
    <t>Dynamische Textdaten für roten Faden</t>
  </si>
  <si>
    <t>Wo</t>
  </si>
  <si>
    <t>Cashflow vor Steuern</t>
  </si>
  <si>
    <t>Typ</t>
  </si>
  <si>
    <t>Anzeige</t>
  </si>
  <si>
    <t>Text</t>
  </si>
  <si>
    <t>Herzlichen Glückwunsch!</t>
  </si>
  <si>
    <t>Ergebnis Box Header</t>
  </si>
  <si>
    <t>Ergebnis Box Mitte</t>
  </si>
  <si>
    <t>Ergebnis Box Unten</t>
  </si>
  <si>
    <t>Interpretationshilfe</t>
  </si>
  <si>
    <t>Text / Formel</t>
  </si>
  <si>
    <t>Zinsrisiko</t>
  </si>
  <si>
    <t>Restschulden Erklärung</t>
  </si>
  <si>
    <t>Hevorheben</t>
  </si>
  <si>
    <t>Farbcodes für verlinkte Bilder</t>
  </si>
  <si>
    <t>Kennzahlen hevorheben</t>
  </si>
  <si>
    <t>↓</t>
  </si>
  <si>
    <t>Hevorgehobene Markierung - 240px - rumherum keine Formatierungen</t>
  </si>
  <si>
    <t>Zinsen festschreiben für Jahre</t>
  </si>
  <si>
    <t>Copyright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</si>
</sst>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4" formatCode="_-* #,##0.00\ &quot;€&quot;_-;\-* #,##0.00\ &quot;€&quot;_-;_-* &quot;-&quot;??\ &quot;€&quot;_-;_-@_-"/>
    <numFmt numFmtId="164" formatCode="_-* #,##0.00\ _€_-;\-* #,##0.00\ _€_-;_-* &quot;-&quot;??\ _€_-;_-@_-"/>
    <numFmt numFmtId="165" formatCode="0.0%"/>
    <numFmt numFmtId="166" formatCode="_-* #,##0.00\ [$€-1]_-;\-* #,##0.00\ [$€-1]_-;_-* &quot;-&quot;??\ [$€-1]_-"/>
    <numFmt numFmtId="167" formatCode="#,##0\ &quot;€&quot;"/>
    <numFmt numFmtId="168" formatCode="#,##0.0\ &quot;€&quot;"/>
    <numFmt numFmtId="169" formatCode="0.0"/>
    <numFmt numFmtId="170" formatCode="#,##0\ &quot;m²&quot;"/>
    <numFmt numFmtId="171" formatCode="#,##0.0\ &quot;m²&quot;"/>
    <numFmt numFmtId="172" formatCode="#,##0\ &quot;€/m²&quot;"/>
    <numFmt numFmtId="173" formatCode="0\ &quot; Jahre&quot;"/>
    <numFmt numFmtId="174" formatCode="0.0\ &quot;m²&quot;"/>
    <numFmt numFmtId="175" formatCode="0\ &quot;m²&quot;"/>
    <numFmt numFmtId="176" formatCode="0.000000"/>
    <numFmt numFmtId="177" formatCode="0.0000"/>
    <numFmt numFmtId="178" formatCode="0%;;\-;@"/>
    <numFmt numFmtId="179" formatCode="#,##0\ &quot;€&quot;;;\-"/>
  </numFmts>
  <fonts count="48">
    <font>
      <sz val="11"/>
      <color theme="1"/>
      <name val="Calibri"/>
      <family val="2"/>
      <scheme val="minor"/>
    </font>
    <font>
      <sz val="11"/>
      <color theme="1"/>
      <name val="Calibri"/>
      <family val="2"/>
      <scheme val="minor"/>
    </font>
    <font>
      <sz val="10"/>
      <color theme="1"/>
      <name val="Calibri"/>
      <family val="2"/>
      <scheme val="minor"/>
    </font>
    <font>
      <sz val="10"/>
      <name val="Arial"/>
      <family val="2"/>
    </font>
    <font>
      <sz val="11"/>
      <color theme="1"/>
      <name val="Arial"/>
      <family val="2"/>
    </font>
    <font>
      <sz val="12"/>
      <color theme="1"/>
      <name val="Calibri"/>
      <family val="2"/>
      <scheme val="minor"/>
    </font>
    <font>
      <b/>
      <sz val="12"/>
      <color theme="1"/>
      <name val="Calibri"/>
      <family val="2"/>
      <scheme val="minor"/>
    </font>
    <font>
      <sz val="10"/>
      <name val="Calibri"/>
      <family val="2"/>
      <scheme val="minor"/>
    </font>
    <font>
      <u/>
      <sz val="11"/>
      <color rgb="FF009900"/>
      <name val="Calibri"/>
      <family val="2"/>
      <scheme val="minor"/>
    </font>
    <font>
      <sz val="16"/>
      <color theme="0"/>
      <name val="Century Gothic"/>
      <family val="2"/>
    </font>
    <font>
      <sz val="14"/>
      <color theme="0"/>
      <name val="Century Gothic"/>
      <family val="2"/>
    </font>
    <font>
      <b/>
      <sz val="10"/>
      <color theme="0"/>
      <name val="Calibri"/>
      <family val="2"/>
      <scheme val="minor"/>
    </font>
    <font>
      <sz val="11"/>
      <color theme="1"/>
      <name val="Century Gothic"/>
      <family val="2"/>
    </font>
    <font>
      <sz val="12"/>
      <color theme="1"/>
      <name val="Century Gothic"/>
      <family val="2"/>
    </font>
    <font>
      <sz val="28"/>
      <color theme="0"/>
      <name val="Caladea"/>
      <family val="1"/>
    </font>
    <font>
      <sz val="10"/>
      <color theme="0"/>
      <name val="Century Gothic"/>
      <family val="2"/>
    </font>
    <font>
      <sz val="12"/>
      <color rgb="FF009900"/>
      <name val="Century Gothic"/>
      <family val="2"/>
    </font>
    <font>
      <b/>
      <sz val="14"/>
      <color theme="1"/>
      <name val="Calibri"/>
      <family val="2"/>
      <scheme val="minor"/>
    </font>
    <font>
      <sz val="16"/>
      <color theme="1"/>
      <name val="Century Gothic"/>
      <family val="2"/>
    </font>
    <font>
      <b/>
      <sz val="14"/>
      <color theme="1"/>
      <name val="Century Gothic"/>
      <family val="2"/>
    </font>
    <font>
      <sz val="14"/>
      <color theme="1"/>
      <name val="Century Gothic"/>
      <family val="2"/>
    </font>
    <font>
      <sz val="10"/>
      <color theme="1"/>
      <name val="Century Gothic"/>
      <family val="2"/>
    </font>
    <font>
      <sz val="16"/>
      <name val="Century Gothic"/>
      <family val="2"/>
    </font>
    <font>
      <u/>
      <sz val="10"/>
      <color theme="10"/>
      <name val="Calibri"/>
      <family val="2"/>
      <scheme val="minor"/>
    </font>
    <font>
      <sz val="10"/>
      <color theme="0" tint="-0.499984740745262"/>
      <name val="Calibri"/>
      <family val="2"/>
      <scheme val="minor"/>
    </font>
    <font>
      <sz val="12"/>
      <color theme="3"/>
      <name val="Century Gothic"/>
      <family val="2"/>
    </font>
    <font>
      <sz val="26"/>
      <color theme="4"/>
      <name val="Century Gothic"/>
      <family val="2"/>
    </font>
    <font>
      <sz val="11"/>
      <color theme="3"/>
      <name val="Calibri"/>
      <family val="2"/>
      <scheme val="minor"/>
    </font>
    <font>
      <sz val="10"/>
      <color theme="3"/>
      <name val="Century Gothic"/>
      <family val="2"/>
    </font>
    <font>
      <u/>
      <sz val="11"/>
      <color theme="3"/>
      <name val="Century Gothic"/>
      <family val="2"/>
    </font>
    <font>
      <sz val="14"/>
      <color theme="3"/>
      <name val="Century Gothic"/>
      <family val="2"/>
    </font>
    <font>
      <sz val="11"/>
      <color theme="0"/>
      <name val="Calibri"/>
      <family val="2"/>
      <scheme val="minor"/>
    </font>
    <font>
      <sz val="10.5"/>
      <color theme="3"/>
      <name val="Century Gothic"/>
      <family val="2"/>
    </font>
    <font>
      <sz val="11"/>
      <color rgb="FFFBFFFD"/>
      <name val="Calibri"/>
      <family val="2"/>
      <scheme val="minor"/>
    </font>
    <font>
      <sz val="12"/>
      <color rgb="FF19323C"/>
      <name val="Century Gothic"/>
      <family val="2"/>
    </font>
    <font>
      <b/>
      <sz val="11"/>
      <color theme="0"/>
      <name val="Calibri"/>
      <family val="2"/>
      <scheme val="minor"/>
    </font>
    <font>
      <b/>
      <sz val="11"/>
      <color theme="1"/>
      <name val="Calibri"/>
      <family val="2"/>
      <scheme val="minor"/>
    </font>
    <font>
      <b/>
      <sz val="10"/>
      <name val="Arial"/>
      <family val="2"/>
    </font>
    <font>
      <b/>
      <sz val="10"/>
      <color theme="0"/>
      <name val="Arial"/>
      <family val="2"/>
    </font>
    <font>
      <sz val="18"/>
      <color theme="3"/>
      <name val="Century Gothic"/>
      <family val="2"/>
    </font>
    <font>
      <sz val="11"/>
      <color theme="1"/>
      <name val="Calibri"/>
      <family val="2"/>
    </font>
    <font>
      <sz val="14"/>
      <color theme="0"/>
      <name val="Century Gothic"/>
      <family val="2"/>
    </font>
    <font>
      <sz val="11"/>
      <color theme="1"/>
      <name val="Calibri"/>
      <family val="2"/>
      <scheme val="minor"/>
    </font>
    <font>
      <sz val="10.5"/>
      <color theme="3"/>
      <name val="Century Gothic"/>
      <family val="2"/>
    </font>
    <font>
      <sz val="14"/>
      <color theme="3"/>
      <name val="Century Gothic"/>
      <family val="2"/>
    </font>
    <font>
      <sz val="10"/>
      <color theme="1"/>
      <name val="Calibri"/>
      <family val="2"/>
      <scheme val="minor"/>
    </font>
    <font>
      <sz val="12"/>
      <color theme="3"/>
      <name val="Century Gothic"/>
      <family val="2"/>
    </font>
    <font>
      <sz val="10"/>
      <color theme="0" tint="-0.499984740745262"/>
      <name val="Calibri"/>
      <family val="2"/>
      <scheme val="minor"/>
    </font>
  </fonts>
  <fills count="12">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rgb="FFF8696B"/>
        <bgColor indexed="64"/>
      </patternFill>
    </fill>
    <fill>
      <patternFill patternType="solid">
        <fgColor rgb="FFFFEB84"/>
        <bgColor indexed="64"/>
      </patternFill>
    </fill>
    <fill>
      <patternFill patternType="solid">
        <fgColor rgb="FF63BE7B"/>
        <bgColor indexed="64"/>
      </patternFill>
    </fill>
    <fill>
      <patternFill patternType="solid">
        <fgColor rgb="FFFBFFFD"/>
        <bgColor indexed="64"/>
      </patternFill>
    </fill>
    <fill>
      <patternFill patternType="solid">
        <fgColor theme="3"/>
        <bgColor indexed="64"/>
      </patternFill>
    </fill>
    <fill>
      <patternFill patternType="solid">
        <fgColor theme="4"/>
        <bgColor indexed="64"/>
      </patternFill>
    </fill>
    <fill>
      <patternFill patternType="solid">
        <fgColor theme="3" tint="0.89999084444715716"/>
        <bgColor indexed="64"/>
      </patternFill>
    </fill>
  </fills>
  <borders count="87">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top/>
      <bottom style="thin">
        <color theme="0" tint="-0.249977111117893"/>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249977111117893"/>
      </left>
      <right style="thin">
        <color theme="0" tint="-0.249977111117893"/>
      </right>
      <top/>
      <bottom style="thin">
        <color theme="0" tint="-0.249977111117893"/>
      </bottom>
      <diagonal/>
    </border>
    <border>
      <left/>
      <right style="thin">
        <color theme="0" tint="-0.249977111117893"/>
      </right>
      <top/>
      <bottom style="thin">
        <color theme="0" tint="-0.249977111117893"/>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249977111117893"/>
      </left>
      <right/>
      <top/>
      <bottom/>
      <diagonal/>
    </border>
    <border>
      <left/>
      <right style="thin">
        <color theme="0" tint="-0.249977111117893"/>
      </right>
      <top/>
      <bottom/>
      <diagonal/>
    </border>
    <border>
      <left style="thin">
        <color theme="0" tint="-0.249977111117893"/>
      </left>
      <right/>
      <top/>
      <bottom style="thin">
        <color theme="0" tint="-0.249977111117893"/>
      </bottom>
      <diagonal/>
    </border>
    <border>
      <left style="thin">
        <color theme="0" tint="-0.249977111117893"/>
      </left>
      <right/>
      <top/>
      <bottom style="dotted">
        <color theme="0" tint="-0.249977111117893"/>
      </bottom>
      <diagonal/>
    </border>
    <border>
      <left/>
      <right/>
      <top/>
      <bottom style="dotted">
        <color theme="0" tint="-0.249977111117893"/>
      </bottom>
      <diagonal/>
    </border>
    <border>
      <left/>
      <right style="thin">
        <color theme="0" tint="-0.249977111117893"/>
      </right>
      <top/>
      <bottom style="dotted">
        <color theme="0" tint="-0.249977111117893"/>
      </bottom>
      <diagonal/>
    </border>
    <border>
      <left style="thin">
        <color theme="0" tint="-0.249977111117893"/>
      </left>
      <right/>
      <top style="dotted">
        <color theme="0" tint="-0.249977111117893"/>
      </top>
      <bottom style="dotted">
        <color theme="0" tint="-0.249977111117893"/>
      </bottom>
      <diagonal/>
    </border>
    <border>
      <left/>
      <right/>
      <top style="dotted">
        <color theme="0" tint="-0.249977111117893"/>
      </top>
      <bottom style="dotted">
        <color theme="0" tint="-0.249977111117893"/>
      </bottom>
      <diagonal/>
    </border>
    <border>
      <left/>
      <right style="thin">
        <color theme="0" tint="-0.249977111117893"/>
      </right>
      <top style="dotted">
        <color theme="0" tint="-0.249977111117893"/>
      </top>
      <bottom style="dotted">
        <color theme="0" tint="-0.249977111117893"/>
      </bottom>
      <diagonal/>
    </border>
    <border>
      <left style="thin">
        <color theme="0" tint="-0.249977111117893"/>
      </left>
      <right/>
      <top style="double">
        <color theme="0" tint="-0.249977111117893"/>
      </top>
      <bottom style="thin">
        <color theme="0" tint="-0.249977111117893"/>
      </bottom>
      <diagonal/>
    </border>
    <border>
      <left/>
      <right/>
      <top style="double">
        <color theme="0" tint="-0.249977111117893"/>
      </top>
      <bottom style="thin">
        <color theme="0" tint="-0.249977111117893"/>
      </bottom>
      <diagonal/>
    </border>
    <border>
      <left/>
      <right style="thin">
        <color theme="0" tint="-0.249977111117893"/>
      </right>
      <top style="double">
        <color theme="0" tint="-0.249977111117893"/>
      </top>
      <bottom style="thin">
        <color theme="0" tint="-0.249977111117893"/>
      </bottom>
      <diagonal/>
    </border>
    <border>
      <left style="thin">
        <color theme="0" tint="-0.249977111117893"/>
      </left>
      <right/>
      <top style="dotted">
        <color theme="0" tint="-0.249977111117893"/>
      </top>
      <bottom style="double">
        <color theme="0" tint="-0.249977111117893"/>
      </bottom>
      <diagonal/>
    </border>
    <border>
      <left/>
      <right/>
      <top style="dotted">
        <color theme="0" tint="-0.249977111117893"/>
      </top>
      <bottom style="double">
        <color theme="0" tint="-0.249977111117893"/>
      </bottom>
      <diagonal/>
    </border>
    <border>
      <left/>
      <right style="thin">
        <color theme="0" tint="-0.249977111117893"/>
      </right>
      <top style="dotted">
        <color theme="0" tint="-0.249977111117893"/>
      </top>
      <bottom style="double">
        <color theme="0" tint="-0.249977111117893"/>
      </bottom>
      <diagonal/>
    </border>
    <border>
      <left style="medium">
        <color theme="3"/>
      </left>
      <right style="medium">
        <color theme="3"/>
      </right>
      <top style="medium">
        <color theme="3"/>
      </top>
      <bottom style="medium">
        <color theme="3"/>
      </bottom>
      <diagonal/>
    </border>
    <border>
      <left style="medium">
        <color theme="3"/>
      </left>
      <right/>
      <top style="medium">
        <color theme="3"/>
      </top>
      <bottom style="medium">
        <color theme="3"/>
      </bottom>
      <diagonal/>
    </border>
    <border>
      <left/>
      <right/>
      <top style="medium">
        <color theme="3"/>
      </top>
      <bottom style="medium">
        <color theme="3"/>
      </bottom>
      <diagonal/>
    </border>
    <border>
      <left/>
      <right style="medium">
        <color theme="3"/>
      </right>
      <top style="medium">
        <color theme="3"/>
      </top>
      <bottom style="medium">
        <color theme="3"/>
      </bottom>
      <diagonal/>
    </border>
    <border>
      <left style="medium">
        <color theme="3"/>
      </left>
      <right style="thin">
        <color theme="0" tint="-0.249977111117893"/>
      </right>
      <top style="medium">
        <color theme="3"/>
      </top>
      <bottom style="medium">
        <color theme="3"/>
      </bottom>
      <diagonal/>
    </border>
    <border>
      <left style="thin">
        <color theme="0" tint="-0.249977111117893"/>
      </left>
      <right style="thin">
        <color theme="0" tint="-0.249977111117893"/>
      </right>
      <top style="medium">
        <color theme="3"/>
      </top>
      <bottom style="medium">
        <color theme="3"/>
      </bottom>
      <diagonal/>
    </border>
    <border>
      <left style="thin">
        <color theme="0" tint="-0.249977111117893"/>
      </left>
      <right style="medium">
        <color theme="3"/>
      </right>
      <top style="medium">
        <color theme="3"/>
      </top>
      <bottom style="medium">
        <color theme="3"/>
      </bottom>
      <diagonal/>
    </border>
    <border>
      <left style="medium">
        <color theme="3"/>
      </left>
      <right style="thin">
        <color theme="0" tint="-0.249977111117893"/>
      </right>
      <top style="medium">
        <color theme="3"/>
      </top>
      <bottom style="thin">
        <color theme="0" tint="-0.249977111117893"/>
      </bottom>
      <diagonal/>
    </border>
    <border>
      <left/>
      <right/>
      <top style="medium">
        <color theme="3"/>
      </top>
      <bottom style="thin">
        <color theme="0" tint="-0.249977111117893"/>
      </bottom>
      <diagonal/>
    </border>
    <border>
      <left/>
      <right style="medium">
        <color theme="3"/>
      </right>
      <top style="medium">
        <color theme="3"/>
      </top>
      <bottom style="thin">
        <color theme="0" tint="-0.249977111117893"/>
      </bottom>
      <diagonal/>
    </border>
    <border>
      <left style="medium">
        <color theme="3"/>
      </left>
      <right style="thin">
        <color theme="0" tint="-0.249977111117893"/>
      </right>
      <top style="thin">
        <color theme="0" tint="-0.249977111117893"/>
      </top>
      <bottom style="thin">
        <color theme="0" tint="-0.249977111117893"/>
      </bottom>
      <diagonal/>
    </border>
    <border>
      <left/>
      <right style="medium">
        <color theme="3"/>
      </right>
      <top style="thin">
        <color theme="0" tint="-0.249977111117893"/>
      </top>
      <bottom style="thin">
        <color theme="0" tint="-0.249977111117893"/>
      </bottom>
      <diagonal/>
    </border>
    <border>
      <left style="medium">
        <color theme="3"/>
      </left>
      <right style="thin">
        <color theme="0" tint="-0.249977111117893"/>
      </right>
      <top style="thin">
        <color theme="0" tint="-0.249977111117893"/>
      </top>
      <bottom style="medium">
        <color theme="3"/>
      </bottom>
      <diagonal/>
    </border>
    <border>
      <left/>
      <right style="thin">
        <color theme="0" tint="-0.249977111117893"/>
      </right>
      <top style="thin">
        <color theme="0" tint="-0.249977111117893"/>
      </top>
      <bottom style="medium">
        <color theme="3"/>
      </bottom>
      <diagonal/>
    </border>
    <border>
      <left style="thin">
        <color theme="0" tint="-0.249977111117893"/>
      </left>
      <right style="thin">
        <color theme="0" tint="-0.249977111117893"/>
      </right>
      <top style="thin">
        <color theme="0" tint="-0.249977111117893"/>
      </top>
      <bottom style="medium">
        <color theme="3"/>
      </bottom>
      <diagonal/>
    </border>
    <border>
      <left/>
      <right style="medium">
        <color theme="3"/>
      </right>
      <top style="thin">
        <color theme="0" tint="-0.249977111117893"/>
      </top>
      <bottom style="medium">
        <color theme="3"/>
      </bottom>
      <diagonal/>
    </border>
    <border>
      <left style="medium">
        <color theme="3"/>
      </left>
      <right/>
      <top style="medium">
        <color theme="3"/>
      </top>
      <bottom/>
      <diagonal/>
    </border>
    <border>
      <left/>
      <right style="thin">
        <color theme="0" tint="-0.249977111117893"/>
      </right>
      <top style="medium">
        <color theme="3"/>
      </top>
      <bottom/>
      <diagonal/>
    </border>
    <border>
      <left style="thin">
        <color theme="0" tint="-0.249977111117893"/>
      </left>
      <right/>
      <top style="medium">
        <color theme="3"/>
      </top>
      <bottom style="thin">
        <color theme="0" tint="-0.249977111117893"/>
      </bottom>
      <diagonal/>
    </border>
    <border>
      <left style="medium">
        <color theme="3"/>
      </left>
      <right/>
      <top style="thin">
        <color theme="0" tint="-0.249977111117893"/>
      </top>
      <bottom style="thin">
        <color theme="0" tint="-0.249977111117893"/>
      </bottom>
      <diagonal/>
    </border>
    <border>
      <left style="thin">
        <color theme="0" tint="-0.249977111117893"/>
      </left>
      <right style="medium">
        <color theme="3"/>
      </right>
      <top style="thin">
        <color theme="0" tint="-0.249977111117893"/>
      </top>
      <bottom style="thin">
        <color theme="0" tint="-0.249977111117893"/>
      </bottom>
      <diagonal/>
    </border>
    <border>
      <left style="medium">
        <color theme="3"/>
      </left>
      <right/>
      <top style="thin">
        <color theme="0" tint="-0.249977111117893"/>
      </top>
      <bottom style="medium">
        <color theme="3"/>
      </bottom>
      <diagonal/>
    </border>
    <border>
      <left style="thin">
        <color theme="0" tint="-0.249977111117893"/>
      </left>
      <right style="medium">
        <color theme="3"/>
      </right>
      <top style="thin">
        <color theme="0" tint="-0.249977111117893"/>
      </top>
      <bottom style="medium">
        <color theme="3"/>
      </bottom>
      <diagonal/>
    </border>
    <border>
      <left style="medium">
        <color theme="3"/>
      </left>
      <right/>
      <top style="medium">
        <color theme="3"/>
      </top>
      <bottom style="thin">
        <color theme="0" tint="-0.249977111117893"/>
      </bottom>
      <diagonal/>
    </border>
    <border>
      <left style="thin">
        <color theme="0" tint="-0.249977111117893"/>
      </left>
      <right style="medium">
        <color theme="3"/>
      </right>
      <top style="medium">
        <color theme="3"/>
      </top>
      <bottom style="thin">
        <color theme="0" tint="-0.249977111117893"/>
      </bottom>
      <diagonal/>
    </border>
    <border>
      <left style="thin">
        <color theme="0" tint="-0.249977111117893"/>
      </left>
      <right style="thin">
        <color theme="0" tint="-0.249977111117893"/>
      </right>
      <top style="medium">
        <color theme="3"/>
      </top>
      <bottom style="thin">
        <color theme="0" tint="-0.249977111117893"/>
      </bottom>
      <diagonal/>
    </border>
    <border>
      <left style="medium">
        <color theme="3"/>
      </left>
      <right style="thin">
        <color theme="0" tint="-0.249977111117893"/>
      </right>
      <top/>
      <bottom/>
      <diagonal/>
    </border>
    <border>
      <left style="medium">
        <color theme="3"/>
      </left>
      <right style="thin">
        <color theme="0" tint="-0.249977111117893"/>
      </right>
      <top style="thin">
        <color theme="0" tint="-0.249977111117893"/>
      </top>
      <bottom/>
      <diagonal/>
    </border>
    <border>
      <left style="thin">
        <color theme="0" tint="-0.249977111117893"/>
      </left>
      <right style="medium">
        <color theme="3"/>
      </right>
      <top style="thin">
        <color theme="0" tint="-0.249977111117893"/>
      </top>
      <bottom/>
      <diagonal/>
    </border>
    <border>
      <left style="medium">
        <color theme="3"/>
      </left>
      <right style="thin">
        <color theme="0" tint="-0.249977111117893"/>
      </right>
      <top/>
      <bottom style="medium">
        <color theme="3"/>
      </bottom>
      <diagonal/>
    </border>
    <border>
      <left style="thin">
        <color theme="0" tint="-0.249977111117893"/>
      </left>
      <right style="medium">
        <color theme="3"/>
      </right>
      <top/>
      <bottom style="medium">
        <color theme="3"/>
      </bottom>
      <diagonal/>
    </border>
    <border>
      <left style="medium">
        <color theme="3"/>
      </left>
      <right style="thin">
        <color theme="0" tint="-0.249977111117893"/>
      </right>
      <top/>
      <bottom style="thin">
        <color theme="0" tint="-0.249977111117893"/>
      </bottom>
      <diagonal/>
    </border>
    <border>
      <left style="thin">
        <color theme="0" tint="-0.249977111117893"/>
      </left>
      <right style="medium">
        <color theme="3"/>
      </right>
      <top/>
      <bottom style="thin">
        <color theme="0" tint="-0.249977111117893"/>
      </bottom>
      <diagonal/>
    </border>
    <border>
      <left/>
      <right/>
      <top style="medium">
        <color theme="3"/>
      </top>
      <bottom/>
      <diagonal/>
    </border>
    <border>
      <left/>
      <right style="medium">
        <color theme="3"/>
      </right>
      <top style="medium">
        <color theme="3"/>
      </top>
      <bottom/>
      <diagonal/>
    </border>
    <border>
      <left style="medium">
        <color theme="3"/>
      </left>
      <right/>
      <top/>
      <bottom/>
      <diagonal/>
    </border>
    <border>
      <left/>
      <right style="medium">
        <color theme="3"/>
      </right>
      <top/>
      <bottom/>
      <diagonal/>
    </border>
    <border>
      <left style="medium">
        <color theme="3"/>
      </left>
      <right/>
      <top/>
      <bottom style="medium">
        <color theme="3"/>
      </bottom>
      <diagonal/>
    </border>
    <border>
      <left/>
      <right/>
      <top/>
      <bottom style="medium">
        <color theme="3"/>
      </bottom>
      <diagonal/>
    </border>
    <border>
      <left/>
      <right style="medium">
        <color theme="3"/>
      </right>
      <top/>
      <bottom style="medium">
        <color theme="3"/>
      </bottom>
      <diagonal/>
    </border>
    <border>
      <left style="medium">
        <color theme="3"/>
      </left>
      <right style="thin">
        <color theme="0" tint="-0.249977111117893"/>
      </right>
      <top style="thin">
        <color theme="0" tint="-0.249977111117893"/>
      </top>
      <bottom style="double">
        <color theme="0" tint="-0.249977111117893"/>
      </bottom>
      <diagonal/>
    </border>
    <border>
      <left/>
      <right style="medium">
        <color theme="3"/>
      </right>
      <top style="thin">
        <color theme="0" tint="-0.249977111117893"/>
      </top>
      <bottom style="double">
        <color theme="0" tint="-0.249977111117893"/>
      </bottom>
      <diagonal/>
    </border>
    <border>
      <left/>
      <right style="medium">
        <color theme="3"/>
      </right>
      <top/>
      <bottom style="thin">
        <color theme="0" tint="-0.249977111117893"/>
      </bottom>
      <diagonal/>
    </border>
    <border>
      <left style="medium">
        <color theme="3"/>
      </left>
      <right style="medium">
        <color theme="3"/>
      </right>
      <top style="medium">
        <color theme="3"/>
      </top>
      <bottom/>
      <diagonal/>
    </border>
    <border>
      <left/>
      <right style="thin">
        <color theme="3" tint="0.24994659260841701"/>
      </right>
      <top style="medium">
        <color theme="3"/>
      </top>
      <bottom style="medium">
        <color theme="3"/>
      </bottom>
      <diagonal/>
    </border>
    <border>
      <left style="thin">
        <color theme="3" tint="0.24994659260841701"/>
      </left>
      <right style="thin">
        <color theme="3" tint="0.24994659260841701"/>
      </right>
      <top style="medium">
        <color theme="3"/>
      </top>
      <bottom style="medium">
        <color theme="3"/>
      </bottom>
      <diagonal/>
    </border>
    <border>
      <left style="thin">
        <color theme="3" tint="0.24994659260841701"/>
      </left>
      <right style="medium">
        <color theme="3"/>
      </right>
      <top style="medium">
        <color theme="3"/>
      </top>
      <bottom style="medium">
        <color theme="3"/>
      </bottom>
      <diagonal/>
    </border>
    <border>
      <left/>
      <right style="thin">
        <color theme="0" tint="-0.249977111117893"/>
      </right>
      <top style="medium">
        <color theme="3"/>
      </top>
      <bottom style="thin">
        <color theme="0" tint="-0.249977111117893"/>
      </bottom>
      <diagonal/>
    </border>
    <border>
      <left/>
      <right style="thin">
        <color theme="0" tint="-0.249977111117893"/>
      </right>
      <top/>
      <bottom style="medium">
        <color theme="3"/>
      </bottom>
      <diagonal/>
    </border>
    <border>
      <left style="thin">
        <color theme="0" tint="-0.249977111117893"/>
      </left>
      <right style="thin">
        <color theme="0" tint="-0.249977111117893"/>
      </right>
      <top/>
      <bottom style="medium">
        <color theme="3"/>
      </bottom>
      <diagonal/>
    </border>
    <border>
      <left style="medium">
        <color theme="3"/>
      </left>
      <right/>
      <top/>
      <bottom style="thin">
        <color theme="0" tint="-0.249977111117893"/>
      </bottom>
      <diagonal/>
    </border>
    <border>
      <left style="medium">
        <color theme="3"/>
      </left>
      <right/>
      <top/>
      <bottom style="dotted">
        <color theme="3"/>
      </bottom>
      <diagonal/>
    </border>
    <border>
      <left/>
      <right/>
      <top/>
      <bottom style="dotted">
        <color theme="3"/>
      </bottom>
      <diagonal/>
    </border>
    <border>
      <left/>
      <right style="medium">
        <color theme="3"/>
      </right>
      <top/>
      <bottom style="dotted">
        <color theme="3"/>
      </bottom>
      <diagonal/>
    </border>
    <border>
      <left/>
      <right style="medium">
        <color theme="3"/>
      </right>
      <top style="dotted">
        <color theme="3"/>
      </top>
      <bottom/>
      <diagonal/>
    </border>
    <border>
      <left style="thin">
        <color theme="0" tint="-0.249977111117893"/>
      </left>
      <right style="thin">
        <color theme="0" tint="-0.249977111117893"/>
      </right>
      <top style="thin">
        <color theme="0" tint="-0.249977111117893"/>
      </top>
      <bottom/>
      <diagonal/>
    </border>
    <border>
      <left/>
      <right/>
      <top style="medium">
        <color theme="3"/>
      </top>
      <bottom style="thin">
        <color indexed="64"/>
      </bottom>
      <diagonal/>
    </border>
    <border>
      <left/>
      <right style="medium">
        <color theme="3"/>
      </right>
      <top style="medium">
        <color theme="3"/>
      </top>
      <bottom style="thin">
        <color indexed="64"/>
      </bottom>
      <diagonal/>
    </border>
    <border>
      <left style="medium">
        <color theme="3"/>
      </left>
      <right style="medium">
        <color theme="3"/>
      </right>
      <top style="thin">
        <color theme="0" tint="-0.249977111117893"/>
      </top>
      <bottom style="medium">
        <color theme="3"/>
      </bottom>
      <diagonal/>
    </border>
    <border>
      <left style="medium">
        <color theme="3"/>
      </left>
      <right style="medium">
        <color theme="3"/>
      </right>
      <top style="medium">
        <color theme="3"/>
      </top>
      <bottom style="thin">
        <color theme="0" tint="-0.249977111117893"/>
      </bottom>
      <diagonal/>
    </border>
  </borders>
  <cellStyleXfs count="20">
    <xf numFmtId="0" fontId="0" fillId="0" borderId="0"/>
    <xf numFmtId="9" fontId="1" fillId="0" borderId="0" applyFont="0" applyFill="0" applyBorder="0" applyAlignment="0" applyProtection="0"/>
    <xf numFmtId="0" fontId="3" fillId="0" borderId="0"/>
    <xf numFmtId="9" fontId="3" fillId="0" borderId="0" applyFont="0" applyFill="0" applyBorder="0" applyAlignment="0" applyProtection="0"/>
    <xf numFmtId="164" fontId="3" fillId="0" borderId="0" applyFont="0" applyFill="0" applyBorder="0" applyAlignment="0" applyProtection="0"/>
    <xf numFmtId="166" fontId="3" fillId="0" borderId="0" applyFont="0" applyFill="0" applyBorder="0" applyAlignment="0" applyProtection="0"/>
    <xf numFmtId="164"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0" fontId="3" fillId="0" borderId="0"/>
    <xf numFmtId="0" fontId="3" fillId="0" borderId="0"/>
    <xf numFmtId="0" fontId="3" fillId="0" borderId="0"/>
    <xf numFmtId="0" fontId="4" fillId="0" borderId="0"/>
    <xf numFmtId="44" fontId="3" fillId="0" borderId="0" applyFont="0" applyFill="0" applyBorder="0" applyAlignment="0" applyProtection="0"/>
    <xf numFmtId="44" fontId="3" fillId="0" borderId="0" applyFont="0" applyFill="0" applyBorder="0" applyAlignment="0" applyProtection="0"/>
    <xf numFmtId="0" fontId="5" fillId="0" borderId="0"/>
    <xf numFmtId="44" fontId="5" fillId="0" borderId="0" applyFont="0" applyFill="0" applyBorder="0" applyAlignment="0" applyProtection="0"/>
    <xf numFmtId="0" fontId="10" fillId="0" borderId="0" applyNumberFormat="0" applyFill="0" applyBorder="0" applyAlignment="0" applyProtection="0"/>
    <xf numFmtId="0" fontId="23" fillId="0" borderId="0" applyNumberFormat="0" applyFill="0" applyBorder="0" applyAlignment="0" applyProtection="0"/>
  </cellStyleXfs>
  <cellXfs count="520">
    <xf numFmtId="0" fontId="0" fillId="0" borderId="0" xfId="0"/>
    <xf numFmtId="0" fontId="6" fillId="0" borderId="0" xfId="0" applyFont="1"/>
    <xf numFmtId="167" fontId="0" fillId="0" borderId="6" xfId="0" applyNumberFormat="1" applyBorder="1"/>
    <xf numFmtId="3" fontId="2" fillId="3" borderId="1" xfId="0" applyNumberFormat="1" applyFont="1" applyFill="1" applyBorder="1" applyAlignment="1">
      <alignment horizontal="center"/>
    </xf>
    <xf numFmtId="0" fontId="2" fillId="8" borderId="0" xfId="0" applyFont="1" applyFill="1"/>
    <xf numFmtId="0" fontId="0" fillId="8" borderId="0" xfId="0" applyFill="1"/>
    <xf numFmtId="167" fontId="0" fillId="8" borderId="0" xfId="0" applyNumberFormat="1" applyFill="1"/>
    <xf numFmtId="1" fontId="0" fillId="8" borderId="0" xfId="0" applyNumberFormat="1" applyFill="1"/>
    <xf numFmtId="0" fontId="6" fillId="8" borderId="0" xfId="0" applyFont="1" applyFill="1"/>
    <xf numFmtId="0" fontId="13" fillId="0" borderId="0" xfId="0" applyFont="1" applyAlignment="1">
      <alignment horizontal="left"/>
    </xf>
    <xf numFmtId="0" fontId="21" fillId="0" borderId="0" xfId="0" applyFont="1"/>
    <xf numFmtId="0" fontId="22" fillId="8" borderId="0" xfId="0" applyFont="1" applyFill="1"/>
    <xf numFmtId="0" fontId="12" fillId="8" borderId="0" xfId="0" applyFont="1" applyFill="1" applyAlignment="1">
      <alignment vertical="top" wrapText="1"/>
    </xf>
    <xf numFmtId="0" fontId="0" fillId="8" borderId="0" xfId="0" applyFill="1" applyAlignment="1">
      <alignment vertical="center"/>
    </xf>
    <xf numFmtId="0" fontId="2" fillId="8" borderId="0" xfId="0" applyFont="1" applyFill="1" applyAlignment="1">
      <alignment vertical="center"/>
    </xf>
    <xf numFmtId="0" fontId="2" fillId="0" borderId="1" xfId="0" applyFont="1" applyBorder="1"/>
    <xf numFmtId="167" fontId="2" fillId="8" borderId="0" xfId="1" applyNumberFormat="1" applyFont="1" applyFill="1" applyBorder="1" applyProtection="1"/>
    <xf numFmtId="167" fontId="2" fillId="8" borderId="0" xfId="0" applyNumberFormat="1" applyFont="1" applyFill="1"/>
    <xf numFmtId="10" fontId="2" fillId="3" borderId="0" xfId="1" applyNumberFormat="1" applyFont="1" applyFill="1" applyBorder="1" applyProtection="1"/>
    <xf numFmtId="167" fontId="2" fillId="3" borderId="0" xfId="1" applyNumberFormat="1" applyFont="1" applyFill="1" applyBorder="1" applyProtection="1"/>
    <xf numFmtId="1" fontId="2" fillId="8" borderId="0" xfId="0" applyNumberFormat="1" applyFont="1" applyFill="1"/>
    <xf numFmtId="167" fontId="2" fillId="3" borderId="1" xfId="1" applyNumberFormat="1" applyFont="1" applyFill="1" applyBorder="1" applyProtection="1"/>
    <xf numFmtId="0" fontId="2" fillId="0" borderId="0" xfId="0" applyFont="1"/>
    <xf numFmtId="1" fontId="2" fillId="8" borderId="0" xfId="0" applyNumberFormat="1" applyFont="1" applyFill="1" applyAlignment="1">
      <alignment horizontal="right"/>
    </xf>
    <xf numFmtId="0" fontId="0" fillId="8" borderId="0" xfId="0" applyFill="1" applyProtection="1">
      <protection locked="0"/>
    </xf>
    <xf numFmtId="0" fontId="16" fillId="3" borderId="0" xfId="0" applyFont="1" applyFill="1" applyAlignment="1">
      <alignment horizontal="left"/>
    </xf>
    <xf numFmtId="0" fontId="2" fillId="8" borderId="5" xfId="0" applyFont="1" applyFill="1" applyBorder="1" applyAlignment="1">
      <alignment horizontal="left"/>
    </xf>
    <xf numFmtId="167" fontId="2" fillId="3" borderId="1" xfId="0" applyNumberFormat="1" applyFont="1" applyFill="1" applyBorder="1" applyAlignment="1">
      <alignment horizontal="center"/>
    </xf>
    <xf numFmtId="0" fontId="0" fillId="8" borderId="0" xfId="0" applyFill="1" applyAlignment="1">
      <alignment horizontal="center"/>
    </xf>
    <xf numFmtId="165" fontId="2" fillId="3" borderId="1" xfId="1" applyNumberFormat="1" applyFont="1" applyFill="1" applyBorder="1" applyAlignment="1" applyProtection="1">
      <alignment horizontal="center"/>
    </xf>
    <xf numFmtId="168" fontId="2" fillId="3" borderId="1" xfId="0" applyNumberFormat="1" applyFont="1" applyFill="1" applyBorder="1" applyAlignment="1">
      <alignment horizontal="center"/>
    </xf>
    <xf numFmtId="10" fontId="7" fillId="3" borderId="1" xfId="1" applyNumberFormat="1" applyFont="1" applyFill="1" applyBorder="1" applyAlignment="1" applyProtection="1">
      <alignment horizontal="center"/>
    </xf>
    <xf numFmtId="0" fontId="16" fillId="8" borderId="0" xfId="0" applyFont="1" applyFill="1" applyAlignment="1">
      <alignment horizontal="left"/>
    </xf>
    <xf numFmtId="0" fontId="11" fillId="8" borderId="0" xfId="0" applyFont="1" applyFill="1" applyAlignment="1">
      <alignment horizontal="left"/>
    </xf>
    <xf numFmtId="0" fontId="0" fillId="0" borderId="0" xfId="0" applyAlignment="1">
      <alignment horizontal="center"/>
    </xf>
    <xf numFmtId="3" fontId="2" fillId="3" borderId="7" xfId="0" applyNumberFormat="1" applyFont="1" applyFill="1" applyBorder="1" applyAlignment="1">
      <alignment horizontal="center"/>
    </xf>
    <xf numFmtId="10" fontId="2" fillId="3" borderId="1" xfId="1" applyNumberFormat="1" applyFont="1" applyFill="1" applyBorder="1" applyAlignment="1" applyProtection="1">
      <alignment horizontal="center"/>
    </xf>
    <xf numFmtId="0" fontId="8" fillId="8" borderId="0" xfId="18" applyFont="1" applyFill="1" applyAlignment="1" applyProtection="1">
      <alignment horizontal="right"/>
    </xf>
    <xf numFmtId="0" fontId="10" fillId="8" borderId="0" xfId="18" applyFill="1" applyAlignment="1" applyProtection="1">
      <alignment horizontal="right"/>
    </xf>
    <xf numFmtId="0" fontId="0" fillId="0" borderId="9" xfId="0" applyBorder="1" applyProtection="1">
      <protection locked="0"/>
    </xf>
    <xf numFmtId="0" fontId="0" fillId="0" borderId="10" xfId="0" applyBorder="1" applyProtection="1">
      <protection locked="0"/>
    </xf>
    <xf numFmtId="0" fontId="0" fillId="0" borderId="11" xfId="0" applyBorder="1" applyProtection="1">
      <protection locked="0"/>
    </xf>
    <xf numFmtId="0" fontId="0" fillId="0" borderId="12" xfId="0" applyBorder="1" applyProtection="1">
      <protection locked="0"/>
    </xf>
    <xf numFmtId="0" fontId="0" fillId="0" borderId="13" xfId="0" applyBorder="1" applyProtection="1">
      <protection locked="0"/>
    </xf>
    <xf numFmtId="0" fontId="20" fillId="0" borderId="0" xfId="0" applyFont="1" applyProtection="1">
      <protection locked="0"/>
    </xf>
    <xf numFmtId="0" fontId="17" fillId="0" borderId="0" xfId="0" applyFont="1" applyProtection="1">
      <protection locked="0"/>
    </xf>
    <xf numFmtId="0" fontId="0" fillId="0" borderId="0" xfId="0" applyProtection="1">
      <protection locked="0"/>
    </xf>
    <xf numFmtId="0" fontId="20" fillId="0" borderId="0" xfId="0" applyFont="1" applyAlignment="1" applyProtection="1">
      <alignment horizontal="right"/>
      <protection locked="0"/>
    </xf>
    <xf numFmtId="0" fontId="21" fillId="2" borderId="9" xfId="0" applyFont="1" applyFill="1" applyBorder="1" applyProtection="1">
      <protection locked="0"/>
    </xf>
    <xf numFmtId="0" fontId="21" fillId="2" borderId="10" xfId="0" applyFont="1" applyFill="1" applyBorder="1" applyProtection="1">
      <protection locked="0"/>
    </xf>
    <xf numFmtId="0" fontId="21" fillId="2" borderId="11" xfId="0" applyFont="1" applyFill="1" applyBorder="1" applyProtection="1">
      <protection locked="0"/>
    </xf>
    <xf numFmtId="0" fontId="21" fillId="0" borderId="12" xfId="0" applyFont="1" applyBorder="1" applyProtection="1">
      <protection locked="0"/>
    </xf>
    <xf numFmtId="0" fontId="21" fillId="0" borderId="0" xfId="0" applyFont="1" applyProtection="1">
      <protection locked="0"/>
    </xf>
    <xf numFmtId="0" fontId="21" fillId="0" borderId="13" xfId="0" applyFont="1" applyBorder="1" applyProtection="1">
      <protection locked="0"/>
    </xf>
    <xf numFmtId="0" fontId="21" fillId="0" borderId="14" xfId="0" applyFont="1" applyBorder="1" applyProtection="1">
      <protection locked="0"/>
    </xf>
    <xf numFmtId="0" fontId="21" fillId="0" borderId="5" xfId="0" applyFont="1" applyBorder="1" applyProtection="1">
      <protection locked="0"/>
    </xf>
    <xf numFmtId="0" fontId="21" fillId="0" borderId="8" xfId="0" applyFont="1" applyBorder="1" applyProtection="1">
      <protection locked="0"/>
    </xf>
    <xf numFmtId="0" fontId="21" fillId="2" borderId="2" xfId="0" applyFont="1" applyFill="1" applyBorder="1" applyProtection="1">
      <protection locked="0"/>
    </xf>
    <xf numFmtId="0" fontId="21" fillId="2" borderId="3" xfId="0" applyFont="1" applyFill="1" applyBorder="1" applyProtection="1">
      <protection locked="0"/>
    </xf>
    <xf numFmtId="0" fontId="21" fillId="2" borderId="4" xfId="0" applyFont="1" applyFill="1" applyBorder="1" applyProtection="1">
      <protection locked="0"/>
    </xf>
    <xf numFmtId="0" fontId="21" fillId="4" borderId="2" xfId="0" applyFont="1" applyFill="1" applyBorder="1" applyProtection="1">
      <protection locked="0"/>
    </xf>
    <xf numFmtId="0" fontId="21" fillId="4" borderId="3" xfId="0" applyFont="1" applyFill="1" applyBorder="1" applyProtection="1">
      <protection locked="0"/>
    </xf>
    <xf numFmtId="0" fontId="21" fillId="4" borderId="3" xfId="0" applyFont="1" applyFill="1" applyBorder="1" applyAlignment="1" applyProtection="1">
      <alignment horizontal="right"/>
      <protection locked="0"/>
    </xf>
    <xf numFmtId="0" fontId="21" fillId="4" borderId="4" xfId="0" applyFont="1" applyFill="1" applyBorder="1" applyProtection="1">
      <protection locked="0"/>
    </xf>
    <xf numFmtId="0" fontId="21" fillId="0" borderId="15" xfId="0" applyFont="1" applyBorder="1" applyProtection="1">
      <protection locked="0"/>
    </xf>
    <xf numFmtId="0" fontId="21" fillId="0" borderId="16" xfId="0" applyFont="1" applyBorder="1" applyProtection="1">
      <protection locked="0"/>
    </xf>
    <xf numFmtId="167" fontId="21" fillId="0" borderId="16" xfId="0" applyNumberFormat="1" applyFont="1" applyBorder="1" applyAlignment="1" applyProtection="1">
      <alignment horizontal="right"/>
      <protection locked="0"/>
    </xf>
    <xf numFmtId="0" fontId="21" fillId="0" borderId="17" xfId="0" applyFont="1" applyBorder="1" applyProtection="1">
      <protection locked="0"/>
    </xf>
    <xf numFmtId="0" fontId="21" fillId="0" borderId="18" xfId="0" applyFont="1" applyBorder="1" applyProtection="1">
      <protection locked="0"/>
    </xf>
    <xf numFmtId="0" fontId="21" fillId="0" borderId="19" xfId="0" applyFont="1" applyBorder="1" applyProtection="1">
      <protection locked="0"/>
    </xf>
    <xf numFmtId="167" fontId="21" fillId="0" borderId="19" xfId="0" applyNumberFormat="1" applyFont="1" applyBorder="1" applyAlignment="1" applyProtection="1">
      <alignment horizontal="right"/>
      <protection locked="0"/>
    </xf>
    <xf numFmtId="0" fontId="21" fillId="0" borderId="20" xfId="0" applyFont="1" applyBorder="1" applyProtection="1">
      <protection locked="0"/>
    </xf>
    <xf numFmtId="0" fontId="21" fillId="0" borderId="21" xfId="0" applyFont="1" applyBorder="1" applyProtection="1">
      <protection locked="0"/>
    </xf>
    <xf numFmtId="0" fontId="21" fillId="0" borderId="22" xfId="0" applyFont="1" applyBorder="1" applyProtection="1">
      <protection locked="0"/>
    </xf>
    <xf numFmtId="167" fontId="21" fillId="0" borderId="22" xfId="0" applyNumberFormat="1" applyFont="1" applyBorder="1" applyAlignment="1" applyProtection="1">
      <alignment horizontal="right"/>
      <protection locked="0"/>
    </xf>
    <xf numFmtId="0" fontId="21" fillId="0" borderId="23" xfId="0" applyFont="1" applyBorder="1" applyProtection="1">
      <protection locked="0"/>
    </xf>
    <xf numFmtId="0" fontId="21" fillId="4" borderId="9" xfId="0" applyFont="1" applyFill="1" applyBorder="1" applyProtection="1">
      <protection locked="0"/>
    </xf>
    <xf numFmtId="0" fontId="21" fillId="4" borderId="10" xfId="0" applyFont="1" applyFill="1" applyBorder="1" applyProtection="1">
      <protection locked="0"/>
    </xf>
    <xf numFmtId="0" fontId="21" fillId="4" borderId="10" xfId="0" applyFont="1" applyFill="1" applyBorder="1" applyAlignment="1" applyProtection="1">
      <alignment horizontal="right"/>
      <protection locked="0"/>
    </xf>
    <xf numFmtId="0" fontId="21" fillId="4" borderId="11" xfId="0" applyFont="1" applyFill="1" applyBorder="1" applyProtection="1">
      <protection locked="0"/>
    </xf>
    <xf numFmtId="167" fontId="21" fillId="0" borderId="16" xfId="0" applyNumberFormat="1" applyFont="1" applyBorder="1" applyProtection="1">
      <protection locked="0"/>
    </xf>
    <xf numFmtId="167" fontId="21" fillId="0" borderId="19" xfId="0" applyNumberFormat="1" applyFont="1" applyBorder="1" applyProtection="1">
      <protection locked="0"/>
    </xf>
    <xf numFmtId="167" fontId="21" fillId="0" borderId="0" xfId="0" applyNumberFormat="1" applyFont="1" applyProtection="1">
      <protection locked="0"/>
    </xf>
    <xf numFmtId="167" fontId="21" fillId="0" borderId="22" xfId="0" applyNumberFormat="1" applyFont="1" applyBorder="1" applyProtection="1">
      <protection locked="0"/>
    </xf>
    <xf numFmtId="0" fontId="21" fillId="0" borderId="24" xfId="0" applyFont="1" applyBorder="1" applyProtection="1">
      <protection locked="0"/>
    </xf>
    <xf numFmtId="0" fontId="21" fillId="0" borderId="25" xfId="0" applyFont="1" applyBorder="1" applyProtection="1">
      <protection locked="0"/>
    </xf>
    <xf numFmtId="167" fontId="21" fillId="0" borderId="25" xfId="0" applyNumberFormat="1" applyFont="1" applyBorder="1" applyProtection="1">
      <protection locked="0"/>
    </xf>
    <xf numFmtId="0" fontId="21" fillId="0" borderId="26" xfId="0" applyFont="1" applyBorder="1" applyProtection="1">
      <protection locked="0"/>
    </xf>
    <xf numFmtId="0" fontId="0" fillId="0" borderId="14" xfId="0" applyBorder="1" applyProtection="1">
      <protection locked="0"/>
    </xf>
    <xf numFmtId="0" fontId="0" fillId="0" borderId="5" xfId="0" applyBorder="1" applyProtection="1">
      <protection locked="0"/>
    </xf>
    <xf numFmtId="167" fontId="0" fillId="0" borderId="5" xfId="0" applyNumberFormat="1" applyBorder="1" applyProtection="1">
      <protection locked="0"/>
    </xf>
    <xf numFmtId="0" fontId="0" fillId="0" borderId="8" xfId="0" applyBorder="1" applyProtection="1">
      <protection locked="0"/>
    </xf>
    <xf numFmtId="0" fontId="10" fillId="8" borderId="0" xfId="18" applyFill="1" applyAlignment="1" applyProtection="1">
      <alignment horizontal="right"/>
      <protection locked="0"/>
    </xf>
    <xf numFmtId="0" fontId="12" fillId="0" borderId="9" xfId="0" applyFont="1" applyBorder="1" applyProtection="1">
      <protection locked="0"/>
    </xf>
    <xf numFmtId="0" fontId="12" fillId="0" borderId="10" xfId="0" applyFont="1" applyBorder="1" applyProtection="1">
      <protection locked="0"/>
    </xf>
    <xf numFmtId="0" fontId="12" fillId="0" borderId="11" xfId="0" applyFont="1" applyBorder="1" applyProtection="1">
      <protection locked="0"/>
    </xf>
    <xf numFmtId="0" fontId="12" fillId="0" borderId="12" xfId="0" applyFont="1" applyBorder="1" applyProtection="1">
      <protection locked="0"/>
    </xf>
    <xf numFmtId="0" fontId="12" fillId="0" borderId="13" xfId="0" applyFont="1" applyBorder="1" applyProtection="1">
      <protection locked="0"/>
    </xf>
    <xf numFmtId="0" fontId="19" fillId="0" borderId="0" xfId="0" applyFont="1" applyProtection="1">
      <protection locked="0"/>
    </xf>
    <xf numFmtId="0" fontId="12" fillId="0" borderId="0" xfId="0" applyFont="1" applyProtection="1">
      <protection locked="0"/>
    </xf>
    <xf numFmtId="0" fontId="21" fillId="4" borderId="3" xfId="0" applyFont="1" applyFill="1" applyBorder="1" applyAlignment="1" applyProtection="1">
      <alignment horizontal="left"/>
      <protection locked="0"/>
    </xf>
    <xf numFmtId="0" fontId="21" fillId="0" borderId="16" xfId="0" applyFont="1" applyBorder="1" applyAlignment="1" applyProtection="1">
      <alignment horizontal="left"/>
      <protection locked="0"/>
    </xf>
    <xf numFmtId="0" fontId="21" fillId="0" borderId="22" xfId="0" quotePrefix="1" applyFont="1" applyBorder="1" applyProtection="1">
      <protection locked="0"/>
    </xf>
    <xf numFmtId="0" fontId="12" fillId="0" borderId="14" xfId="0" applyFont="1" applyBorder="1" applyProtection="1">
      <protection locked="0"/>
    </xf>
    <xf numFmtId="0" fontId="12" fillId="0" borderId="5" xfId="0" applyFont="1" applyBorder="1" applyProtection="1">
      <protection locked="0"/>
    </xf>
    <xf numFmtId="167" fontId="12" fillId="0" borderId="5" xfId="0" applyNumberFormat="1" applyFont="1" applyBorder="1" applyProtection="1">
      <protection locked="0"/>
    </xf>
    <xf numFmtId="0" fontId="12" fillId="0" borderId="8" xfId="0" applyFont="1" applyBorder="1" applyProtection="1">
      <protection locked="0"/>
    </xf>
    <xf numFmtId="0" fontId="24" fillId="8" borderId="0" xfId="18" applyFont="1" applyFill="1" applyProtection="1"/>
    <xf numFmtId="0" fontId="2" fillId="0" borderId="8" xfId="0" applyFont="1" applyBorder="1"/>
    <xf numFmtId="0" fontId="10" fillId="9" borderId="0" xfId="0" applyFont="1" applyFill="1"/>
    <xf numFmtId="0" fontId="10" fillId="9" borderId="0" xfId="18" applyFill="1" applyAlignment="1" applyProtection="1">
      <alignment vertical="center"/>
    </xf>
    <xf numFmtId="0" fontId="10" fillId="9" borderId="0" xfId="0" applyFont="1" applyFill="1" applyAlignment="1">
      <alignment vertical="center" wrapText="1"/>
    </xf>
    <xf numFmtId="0" fontId="10" fillId="9" borderId="0" xfId="0" applyFont="1" applyFill="1" applyAlignment="1">
      <alignment vertical="center"/>
    </xf>
    <xf numFmtId="0" fontId="0" fillId="9" borderId="0" xfId="0" applyFill="1"/>
    <xf numFmtId="0" fontId="2" fillId="0" borderId="34" xfId="0" applyFont="1" applyBorder="1"/>
    <xf numFmtId="0" fontId="2" fillId="0" borderId="37" xfId="0" applyFont="1" applyBorder="1"/>
    <xf numFmtId="0" fontId="2" fillId="0" borderId="39" xfId="0" applyFont="1" applyBorder="1"/>
    <xf numFmtId="10" fontId="2" fillId="3" borderId="41" xfId="1" applyNumberFormat="1" applyFont="1" applyFill="1" applyBorder="1" applyProtection="1"/>
    <xf numFmtId="167" fontId="2" fillId="3" borderId="49" xfId="1" applyNumberFormat="1" applyFont="1" applyFill="1" applyBorder="1" applyProtection="1"/>
    <xf numFmtId="0" fontId="2" fillId="0" borderId="50" xfId="0" applyFont="1" applyBorder="1"/>
    <xf numFmtId="0" fontId="2" fillId="0" borderId="48" xfId="0" applyFont="1" applyBorder="1"/>
    <xf numFmtId="0" fontId="2" fillId="3" borderId="34" xfId="0" applyFont="1" applyFill="1" applyBorder="1" applyAlignment="1">
      <alignment horizontal="left"/>
    </xf>
    <xf numFmtId="0" fontId="2" fillId="3" borderId="52" xfId="0" applyFont="1" applyFill="1" applyBorder="1" applyAlignment="1">
      <alignment horizontal="left"/>
    </xf>
    <xf numFmtId="0" fontId="2" fillId="3" borderId="51" xfId="0" applyFont="1" applyFill="1" applyBorder="1" applyAlignment="1">
      <alignment horizontal="left"/>
    </xf>
    <xf numFmtId="167" fontId="2" fillId="3" borderId="47" xfId="1" applyNumberFormat="1" applyFont="1" applyFill="1" applyBorder="1" applyProtection="1"/>
    <xf numFmtId="167" fontId="2" fillId="3" borderId="41" xfId="1" applyNumberFormat="1" applyFont="1" applyFill="1" applyBorder="1" applyProtection="1"/>
    <xf numFmtId="0" fontId="2" fillId="0" borderId="41" xfId="0" applyFont="1" applyBorder="1"/>
    <xf numFmtId="167" fontId="2" fillId="3" borderId="33" xfId="1" applyNumberFormat="1" applyFont="1" applyFill="1" applyBorder="1" applyProtection="1"/>
    <xf numFmtId="0" fontId="2" fillId="0" borderId="34" xfId="0" applyFont="1" applyBorder="1" applyAlignment="1">
      <alignment horizontal="left"/>
    </xf>
    <xf numFmtId="0" fontId="2" fillId="0" borderId="37" xfId="0" quotePrefix="1" applyFont="1" applyBorder="1" applyAlignment="1">
      <alignment horizontal="left"/>
    </xf>
    <xf numFmtId="0" fontId="2" fillId="0" borderId="37" xfId="0" quotePrefix="1" applyFont="1" applyBorder="1"/>
    <xf numFmtId="167" fontId="2" fillId="3" borderId="47" xfId="0" applyNumberFormat="1" applyFont="1" applyFill="1" applyBorder="1" applyAlignment="1">
      <alignment horizontal="right"/>
    </xf>
    <xf numFmtId="0" fontId="2" fillId="0" borderId="53" xfId="0" quotePrefix="1" applyFont="1" applyBorder="1"/>
    <xf numFmtId="0" fontId="2" fillId="0" borderId="39" xfId="0" quotePrefix="1" applyFont="1" applyBorder="1"/>
    <xf numFmtId="0" fontId="2" fillId="0" borderId="54" xfId="0" applyFont="1" applyBorder="1"/>
    <xf numFmtId="167" fontId="2" fillId="3" borderId="51" xfId="1" applyNumberFormat="1" applyFont="1" applyFill="1" applyBorder="1" applyProtection="1"/>
    <xf numFmtId="0" fontId="2" fillId="0" borderId="37" xfId="0" applyFont="1" applyBorder="1" applyAlignment="1">
      <alignment horizontal="left" indent="1"/>
    </xf>
    <xf numFmtId="9" fontId="2" fillId="3" borderId="47" xfId="1" applyFont="1" applyFill="1" applyBorder="1" applyProtection="1"/>
    <xf numFmtId="0" fontId="2" fillId="0" borderId="56" xfId="0" applyFont="1" applyBorder="1"/>
    <xf numFmtId="167" fontId="2" fillId="3" borderId="57" xfId="1" applyNumberFormat="1" applyFont="1" applyFill="1" applyBorder="1" applyProtection="1"/>
    <xf numFmtId="0" fontId="2" fillId="0" borderId="31" xfId="0" applyFont="1" applyBorder="1" applyAlignment="1">
      <alignment horizontal="left"/>
    </xf>
    <xf numFmtId="0" fontId="2" fillId="0" borderId="58" xfId="0" applyFont="1" applyBorder="1" applyAlignment="1">
      <alignment horizontal="left"/>
    </xf>
    <xf numFmtId="0" fontId="2" fillId="0" borderId="37" xfId="0" applyFont="1" applyBorder="1" applyAlignment="1">
      <alignment horizontal="left"/>
    </xf>
    <xf numFmtId="0" fontId="2" fillId="0" borderId="39" xfId="0" applyFont="1" applyBorder="1" applyAlignment="1">
      <alignment horizontal="left"/>
    </xf>
    <xf numFmtId="167" fontId="2" fillId="0" borderId="49" xfId="0" applyNumberFormat="1" applyFont="1" applyBorder="1"/>
    <xf numFmtId="0" fontId="2" fillId="0" borderId="58" xfId="0" applyFont="1" applyBorder="1" applyAlignment="1">
      <alignment horizontal="left" indent="1"/>
    </xf>
    <xf numFmtId="0" fontId="2" fillId="0" borderId="58" xfId="0" quotePrefix="1" applyFont="1" applyBorder="1" applyAlignment="1">
      <alignment horizontal="left"/>
    </xf>
    <xf numFmtId="167" fontId="2" fillId="0" borderId="59" xfId="1" applyNumberFormat="1" applyFont="1" applyFill="1" applyBorder="1" applyProtection="1"/>
    <xf numFmtId="0" fontId="2" fillId="0" borderId="56" xfId="0" quotePrefix="1" applyFont="1" applyBorder="1" applyAlignment="1">
      <alignment horizontal="left"/>
    </xf>
    <xf numFmtId="167" fontId="2" fillId="0" borderId="57" xfId="0" applyNumberFormat="1" applyFont="1" applyBorder="1"/>
    <xf numFmtId="167" fontId="2" fillId="0" borderId="47" xfId="0" applyNumberFormat="1" applyFont="1" applyBorder="1"/>
    <xf numFmtId="1" fontId="2" fillId="0" borderId="49" xfId="0" applyNumberFormat="1" applyFont="1" applyBorder="1"/>
    <xf numFmtId="1" fontId="2" fillId="0" borderId="49" xfId="0" applyNumberFormat="1" applyFont="1" applyBorder="1" applyAlignment="1">
      <alignment horizontal="right"/>
    </xf>
    <xf numFmtId="167" fontId="2" fillId="0" borderId="51" xfId="0" applyNumberFormat="1" applyFont="1" applyBorder="1"/>
    <xf numFmtId="10" fontId="2" fillId="0" borderId="47" xfId="1" applyNumberFormat="1" applyFont="1" applyBorder="1" applyAlignment="1" applyProtection="1">
      <alignment horizontal="right"/>
    </xf>
    <xf numFmtId="165" fontId="2" fillId="0" borderId="51" xfId="1" applyNumberFormat="1" applyFont="1" applyBorder="1" applyAlignment="1" applyProtection="1">
      <alignment horizontal="right"/>
    </xf>
    <xf numFmtId="0" fontId="2" fillId="0" borderId="39" xfId="0" applyFont="1" applyBorder="1" applyAlignment="1">
      <alignment horizontal="left" indent="1"/>
    </xf>
    <xf numFmtId="0" fontId="2" fillId="0" borderId="58" xfId="0" applyFont="1" applyBorder="1"/>
    <xf numFmtId="1" fontId="2" fillId="3" borderId="49" xfId="0" applyNumberFormat="1" applyFont="1" applyFill="1" applyBorder="1"/>
    <xf numFmtId="0" fontId="2" fillId="0" borderId="56" xfId="0" applyFont="1" applyBorder="1" applyAlignment="1">
      <alignment horizontal="left" indent="1"/>
    </xf>
    <xf numFmtId="10" fontId="2" fillId="0" borderId="49" xfId="1" applyNumberFormat="1" applyFont="1" applyBorder="1" applyAlignment="1" applyProtection="1">
      <alignment horizontal="right"/>
    </xf>
    <xf numFmtId="49" fontId="2" fillId="11" borderId="38" xfId="0" applyNumberFormat="1" applyFont="1" applyFill="1" applyBorder="1" applyAlignment="1" applyProtection="1">
      <alignment horizontal="right"/>
      <protection locked="0"/>
    </xf>
    <xf numFmtId="167" fontId="2" fillId="11" borderId="47" xfId="1" applyNumberFormat="1" applyFont="1" applyFill="1" applyBorder="1" applyProtection="1">
      <protection locked="0"/>
    </xf>
    <xf numFmtId="0" fontId="2" fillId="11" borderId="37" xfId="0" applyFont="1" applyFill="1" applyBorder="1" applyProtection="1">
      <protection locked="0"/>
    </xf>
    <xf numFmtId="167" fontId="2" fillId="11" borderId="1" xfId="1" applyNumberFormat="1" applyFont="1" applyFill="1" applyBorder="1" applyAlignment="1" applyProtection="1">
      <alignment horizontal="right"/>
      <protection locked="0"/>
    </xf>
    <xf numFmtId="0" fontId="2" fillId="11" borderId="1" xfId="0" quotePrefix="1" applyFont="1" applyFill="1" applyBorder="1" applyAlignment="1" applyProtection="1">
      <alignment horizontal="right"/>
      <protection locked="0"/>
    </xf>
    <xf numFmtId="167" fontId="2" fillId="11" borderId="47" xfId="1" applyNumberFormat="1" applyFont="1" applyFill="1" applyBorder="1" applyAlignment="1" applyProtection="1">
      <alignment horizontal="right"/>
      <protection locked="0"/>
    </xf>
    <xf numFmtId="165" fontId="2" fillId="11" borderId="51" xfId="1" applyNumberFormat="1" applyFont="1" applyFill="1" applyBorder="1" applyProtection="1">
      <protection locked="0"/>
    </xf>
    <xf numFmtId="165" fontId="2" fillId="11" borderId="47" xfId="1" applyNumberFormat="1" applyFont="1" applyFill="1" applyBorder="1" applyProtection="1">
      <protection locked="0"/>
    </xf>
    <xf numFmtId="165" fontId="2" fillId="11" borderId="49" xfId="1" applyNumberFormat="1" applyFont="1" applyFill="1" applyBorder="1" applyProtection="1">
      <protection locked="0"/>
    </xf>
    <xf numFmtId="167" fontId="2" fillId="11" borderId="51" xfId="1" applyNumberFormat="1" applyFont="1" applyFill="1" applyBorder="1" applyProtection="1">
      <protection locked="0"/>
    </xf>
    <xf numFmtId="167" fontId="2" fillId="11" borderId="59" xfId="1" applyNumberFormat="1" applyFont="1" applyFill="1" applyBorder="1" applyProtection="1">
      <protection locked="0"/>
    </xf>
    <xf numFmtId="167" fontId="2" fillId="11" borderId="51" xfId="0" applyNumberFormat="1" applyFont="1" applyFill="1" applyBorder="1" applyProtection="1">
      <protection locked="0"/>
    </xf>
    <xf numFmtId="0" fontId="2" fillId="11" borderId="34" xfId="0" applyFont="1" applyFill="1" applyBorder="1" applyAlignment="1" applyProtection="1">
      <alignment horizontal="left"/>
      <protection locked="0"/>
    </xf>
    <xf numFmtId="0" fontId="2" fillId="11" borderId="58" xfId="0" applyFont="1" applyFill="1" applyBorder="1" applyAlignment="1" applyProtection="1">
      <alignment horizontal="left"/>
      <protection locked="0"/>
    </xf>
    <xf numFmtId="10" fontId="2" fillId="11" borderId="47" xfId="0" applyNumberFormat="1" applyFont="1" applyFill="1" applyBorder="1" applyProtection="1">
      <protection locked="0"/>
    </xf>
    <xf numFmtId="9" fontId="2" fillId="11" borderId="47" xfId="1" applyFont="1" applyFill="1" applyBorder="1" applyProtection="1">
      <protection locked="0"/>
    </xf>
    <xf numFmtId="0" fontId="2" fillId="9" borderId="0" xfId="0" applyFont="1" applyFill="1"/>
    <xf numFmtId="0" fontId="0" fillId="0" borderId="43" xfId="0" applyBorder="1"/>
    <xf numFmtId="0" fontId="0" fillId="0" borderId="60" xfId="0" applyBorder="1"/>
    <xf numFmtId="0" fontId="0" fillId="0" borderId="61" xfId="0" applyBorder="1"/>
    <xf numFmtId="0" fontId="0" fillId="0" borderId="62" xfId="0" applyBorder="1"/>
    <xf numFmtId="0" fontId="0" fillId="0" borderId="63" xfId="0" applyBorder="1"/>
    <xf numFmtId="0" fontId="0" fillId="0" borderId="64" xfId="0" applyBorder="1"/>
    <xf numFmtId="0" fontId="0" fillId="0" borderId="65" xfId="0" applyBorder="1"/>
    <xf numFmtId="0" fontId="0" fillId="0" borderId="66" xfId="0" applyBorder="1"/>
    <xf numFmtId="0" fontId="10" fillId="9" borderId="0" xfId="18" applyFill="1" applyAlignment="1">
      <alignment vertical="center"/>
    </xf>
    <xf numFmtId="14" fontId="6" fillId="3" borderId="63" xfId="0" applyNumberFormat="1" applyFont="1" applyFill="1" applyBorder="1"/>
    <xf numFmtId="9" fontId="0" fillId="0" borderId="63" xfId="1" applyFont="1" applyBorder="1"/>
    <xf numFmtId="0" fontId="21" fillId="0" borderId="62" xfId="0" applyFont="1" applyBorder="1"/>
    <xf numFmtId="0" fontId="21" fillId="0" borderId="63" xfId="0" applyFont="1" applyBorder="1"/>
    <xf numFmtId="0" fontId="21" fillId="0" borderId="37" xfId="0" applyFont="1" applyBorder="1"/>
    <xf numFmtId="0" fontId="21" fillId="0" borderId="67" xfId="0" applyFont="1" applyBorder="1"/>
    <xf numFmtId="0" fontId="10" fillId="9" borderId="0" xfId="18" applyFill="1" applyBorder="1" applyAlignment="1">
      <alignment vertical="center"/>
    </xf>
    <xf numFmtId="0" fontId="21" fillId="0" borderId="34" xfId="0" applyFont="1" applyBorder="1"/>
    <xf numFmtId="170" fontId="21" fillId="0" borderId="36" xfId="0" applyNumberFormat="1" applyFont="1" applyBorder="1"/>
    <xf numFmtId="0" fontId="21" fillId="0" borderId="56" xfId="0" applyFont="1" applyBorder="1"/>
    <xf numFmtId="167" fontId="21" fillId="0" borderId="66" xfId="0" applyNumberFormat="1" applyFont="1" applyBorder="1"/>
    <xf numFmtId="167" fontId="21" fillId="0" borderId="36" xfId="0" applyNumberFormat="1" applyFont="1" applyBorder="1"/>
    <xf numFmtId="167" fontId="21" fillId="0" borderId="38" xfId="0" applyNumberFormat="1" applyFont="1" applyBorder="1"/>
    <xf numFmtId="167" fontId="21" fillId="0" borderId="68" xfId="0" applyNumberFormat="1" applyFont="1" applyBorder="1"/>
    <xf numFmtId="10" fontId="21" fillId="0" borderId="38" xfId="1" applyNumberFormat="1" applyFont="1" applyBorder="1"/>
    <xf numFmtId="10" fontId="21" fillId="0" borderId="66" xfId="0" applyNumberFormat="1" applyFont="1" applyBorder="1"/>
    <xf numFmtId="0" fontId="21" fillId="0" borderId="28" xfId="0" applyFont="1" applyBorder="1"/>
    <xf numFmtId="167" fontId="21" fillId="0" borderId="33" xfId="0" applyNumberFormat="1" applyFont="1" applyBorder="1"/>
    <xf numFmtId="0" fontId="21" fillId="0" borderId="58" xfId="0" applyFont="1" applyBorder="1"/>
    <xf numFmtId="165" fontId="21" fillId="0" borderId="69" xfId="1" applyNumberFormat="1" applyFont="1" applyBorder="1"/>
    <xf numFmtId="1" fontId="21" fillId="0" borderId="66" xfId="0" applyNumberFormat="1" applyFont="1" applyBorder="1"/>
    <xf numFmtId="0" fontId="21" fillId="0" borderId="37" xfId="0" quotePrefix="1" applyFont="1" applyBorder="1"/>
    <xf numFmtId="0" fontId="21" fillId="0" borderId="67" xfId="0" quotePrefix="1" applyFont="1" applyBorder="1"/>
    <xf numFmtId="0" fontId="21" fillId="0" borderId="56" xfId="0" quotePrefix="1" applyFont="1" applyBorder="1"/>
    <xf numFmtId="0" fontId="25" fillId="3" borderId="27" xfId="0" applyFont="1" applyFill="1" applyBorder="1" applyAlignment="1">
      <alignment horizontal="left"/>
    </xf>
    <xf numFmtId="0" fontId="25" fillId="3" borderId="70" xfId="0" applyFont="1" applyFill="1" applyBorder="1" applyAlignment="1">
      <alignment horizontal="left"/>
    </xf>
    <xf numFmtId="0" fontId="2" fillId="8" borderId="0" xfId="0" applyFont="1" applyFill="1" applyAlignment="1">
      <alignment horizontal="left"/>
    </xf>
    <xf numFmtId="0" fontId="11" fillId="9" borderId="28" xfId="0" applyFont="1" applyFill="1" applyBorder="1" applyAlignment="1">
      <alignment horizontal="right" indent="1"/>
    </xf>
    <xf numFmtId="0" fontId="11" fillId="9" borderId="29" xfId="0" applyFont="1" applyFill="1" applyBorder="1" applyAlignment="1">
      <alignment horizontal="right" indent="1"/>
    </xf>
    <xf numFmtId="0" fontId="11" fillId="9" borderId="71" xfId="0" applyFont="1" applyFill="1" applyBorder="1" applyAlignment="1">
      <alignment horizontal="center"/>
    </xf>
    <xf numFmtId="1" fontId="11" fillId="9" borderId="72" xfId="0" applyNumberFormat="1" applyFont="1" applyFill="1" applyBorder="1" applyAlignment="1">
      <alignment horizontal="center"/>
    </xf>
    <xf numFmtId="1" fontId="11" fillId="9" borderId="73" xfId="0" applyNumberFormat="1" applyFont="1" applyFill="1" applyBorder="1" applyAlignment="1">
      <alignment horizontal="center"/>
    </xf>
    <xf numFmtId="167" fontId="2" fillId="3" borderId="52" xfId="0" applyNumberFormat="1" applyFont="1" applyFill="1" applyBorder="1" applyAlignment="1">
      <alignment horizontal="center"/>
    </xf>
    <xf numFmtId="167" fontId="2" fillId="3" borderId="51" xfId="0" applyNumberFormat="1" applyFont="1" applyFill="1" applyBorder="1" applyAlignment="1">
      <alignment horizontal="center"/>
    </xf>
    <xf numFmtId="167" fontId="2" fillId="3" borderId="47" xfId="0" applyNumberFormat="1" applyFont="1" applyFill="1" applyBorder="1" applyAlignment="1">
      <alignment horizontal="center"/>
    </xf>
    <xf numFmtId="167" fontId="2" fillId="3" borderId="41" xfId="0" applyNumberFormat="1" applyFont="1" applyFill="1" applyBorder="1" applyAlignment="1">
      <alignment horizontal="center"/>
    </xf>
    <xf numFmtId="167" fontId="2" fillId="3" borderId="49" xfId="0" applyNumberFormat="1" applyFont="1" applyFill="1" applyBorder="1" applyAlignment="1">
      <alignment horizontal="center"/>
    </xf>
    <xf numFmtId="3" fontId="2" fillId="3" borderId="52" xfId="0" applyNumberFormat="1" applyFont="1" applyFill="1" applyBorder="1" applyAlignment="1">
      <alignment horizontal="center"/>
    </xf>
    <xf numFmtId="3" fontId="2" fillId="3" borderId="51" xfId="0" applyNumberFormat="1" applyFont="1" applyFill="1" applyBorder="1" applyAlignment="1">
      <alignment horizontal="center"/>
    </xf>
    <xf numFmtId="3" fontId="2" fillId="3" borderId="47" xfId="0" applyNumberFormat="1" applyFont="1" applyFill="1" applyBorder="1" applyAlignment="1">
      <alignment horizontal="center"/>
    </xf>
    <xf numFmtId="3" fontId="2" fillId="3" borderId="76" xfId="0" applyNumberFormat="1" applyFont="1" applyFill="1" applyBorder="1" applyAlignment="1">
      <alignment horizontal="center"/>
    </xf>
    <xf numFmtId="3" fontId="2" fillId="3" borderId="57" xfId="0" applyNumberFormat="1" applyFont="1" applyFill="1" applyBorder="1" applyAlignment="1">
      <alignment horizontal="center"/>
    </xf>
    <xf numFmtId="165" fontId="2" fillId="3" borderId="47" xfId="1" applyNumberFormat="1" applyFont="1" applyFill="1" applyBorder="1" applyAlignment="1" applyProtection="1">
      <alignment horizontal="center"/>
    </xf>
    <xf numFmtId="10" fontId="2" fillId="3" borderId="52" xfId="1" applyNumberFormat="1" applyFont="1" applyFill="1" applyBorder="1" applyAlignment="1" applyProtection="1">
      <alignment horizontal="center"/>
    </xf>
    <xf numFmtId="10" fontId="7" fillId="3" borderId="47" xfId="1" applyNumberFormat="1" applyFont="1" applyFill="1" applyBorder="1" applyAlignment="1" applyProtection="1">
      <alignment horizontal="center"/>
    </xf>
    <xf numFmtId="0" fontId="0" fillId="8" borderId="63" xfId="0" applyFill="1" applyBorder="1"/>
    <xf numFmtId="3" fontId="2" fillId="3" borderId="41" xfId="0" applyNumberFormat="1" applyFont="1" applyFill="1" applyBorder="1" applyAlignment="1">
      <alignment horizontal="center"/>
    </xf>
    <xf numFmtId="3" fontId="2" fillId="3" borderId="49" xfId="0" applyNumberFormat="1" applyFont="1" applyFill="1" applyBorder="1" applyAlignment="1">
      <alignment horizontal="center"/>
    </xf>
    <xf numFmtId="3" fontId="2" fillId="3" borderId="59" xfId="0" applyNumberFormat="1" applyFont="1" applyFill="1" applyBorder="1" applyAlignment="1">
      <alignment horizontal="center"/>
    </xf>
    <xf numFmtId="0" fontId="2" fillId="0" borderId="77" xfId="0" applyFont="1" applyBorder="1" applyAlignment="1">
      <alignment horizontal="right"/>
    </xf>
    <xf numFmtId="10" fontId="2" fillId="3" borderId="47" xfId="1" applyNumberFormat="1" applyFont="1" applyFill="1" applyBorder="1" applyAlignment="1" applyProtection="1">
      <alignment horizontal="center"/>
    </xf>
    <xf numFmtId="3" fontId="2" fillId="11" borderId="1" xfId="0" applyNumberFormat="1" applyFont="1" applyFill="1" applyBorder="1" applyAlignment="1" applyProtection="1">
      <alignment horizontal="center"/>
      <protection locked="0"/>
    </xf>
    <xf numFmtId="3" fontId="2" fillId="11" borderId="47" xfId="0" applyNumberFormat="1" applyFont="1" applyFill="1" applyBorder="1" applyAlignment="1" applyProtection="1">
      <alignment horizontal="center"/>
      <protection locked="0"/>
    </xf>
    <xf numFmtId="10" fontId="2" fillId="11" borderId="52" xfId="1" applyNumberFormat="1" applyFont="1" applyFill="1" applyBorder="1" applyAlignment="1" applyProtection="1">
      <alignment horizontal="center"/>
      <protection locked="0"/>
    </xf>
    <xf numFmtId="10" fontId="2" fillId="11" borderId="74" xfId="1" applyNumberFormat="1" applyFont="1" applyFill="1" applyBorder="1" applyAlignment="1" applyProtection="1">
      <alignment horizontal="center"/>
      <protection locked="0"/>
    </xf>
    <xf numFmtId="10" fontId="2" fillId="11" borderId="36" xfId="1" applyNumberFormat="1" applyFont="1" applyFill="1" applyBorder="1" applyAlignment="1" applyProtection="1">
      <alignment horizontal="center"/>
      <protection locked="0"/>
    </xf>
    <xf numFmtId="0" fontId="10" fillId="9" borderId="0" xfId="18" applyFill="1" applyAlignment="1" applyProtection="1">
      <alignment horizontal="center" vertical="center"/>
    </xf>
    <xf numFmtId="0" fontId="2" fillId="3" borderId="34" xfId="0" applyFont="1" applyFill="1" applyBorder="1"/>
    <xf numFmtId="0" fontId="2" fillId="7" borderId="52" xfId="0" applyFont="1" applyFill="1" applyBorder="1" applyAlignment="1">
      <alignment horizontal="center"/>
    </xf>
    <xf numFmtId="0" fontId="2" fillId="6" borderId="52" xfId="0" applyFont="1" applyFill="1" applyBorder="1" applyAlignment="1">
      <alignment horizontal="center"/>
    </xf>
    <xf numFmtId="0" fontId="2" fillId="5" borderId="51" xfId="0" applyFont="1" applyFill="1" applyBorder="1" applyAlignment="1">
      <alignment horizontal="center"/>
    </xf>
    <xf numFmtId="9" fontId="2" fillId="11" borderId="1" xfId="1" applyFont="1" applyFill="1" applyBorder="1" applyAlignment="1" applyProtection="1">
      <alignment horizontal="center"/>
      <protection locked="0"/>
    </xf>
    <xf numFmtId="9" fontId="2" fillId="11" borderId="47" xfId="1" applyFont="1" applyFill="1" applyBorder="1" applyAlignment="1" applyProtection="1">
      <alignment horizontal="center"/>
      <protection locked="0"/>
    </xf>
    <xf numFmtId="167" fontId="2" fillId="11" borderId="1" xfId="0" applyNumberFormat="1" applyFont="1" applyFill="1" applyBorder="1" applyAlignment="1" applyProtection="1">
      <alignment horizontal="center"/>
      <protection locked="0"/>
    </xf>
    <xf numFmtId="167" fontId="2" fillId="11" borderId="47" xfId="0" applyNumberFormat="1" applyFont="1" applyFill="1" applyBorder="1" applyAlignment="1" applyProtection="1">
      <alignment horizontal="center"/>
      <protection locked="0"/>
    </xf>
    <xf numFmtId="167" fontId="2" fillId="11" borderId="41" xfId="0" applyNumberFormat="1" applyFont="1" applyFill="1" applyBorder="1" applyAlignment="1" applyProtection="1">
      <alignment horizontal="center"/>
      <protection locked="0"/>
    </xf>
    <xf numFmtId="167" fontId="2" fillId="11" borderId="49" xfId="0" applyNumberFormat="1" applyFont="1" applyFill="1" applyBorder="1" applyAlignment="1" applyProtection="1">
      <alignment horizontal="center"/>
      <protection locked="0"/>
    </xf>
    <xf numFmtId="0" fontId="14" fillId="9" borderId="0" xfId="0" applyFont="1" applyFill="1" applyAlignment="1">
      <alignment vertical="center"/>
    </xf>
    <xf numFmtId="0" fontId="2" fillId="11" borderId="51" xfId="0" applyFont="1" applyFill="1" applyBorder="1" applyProtection="1">
      <protection locked="0"/>
    </xf>
    <xf numFmtId="0" fontId="0" fillId="0" borderId="78" xfId="0" applyBorder="1"/>
    <xf numFmtId="0" fontId="0" fillId="0" borderId="79" xfId="0" applyBorder="1"/>
    <xf numFmtId="9" fontId="0" fillId="0" borderId="80" xfId="1" applyFont="1" applyBorder="1"/>
    <xf numFmtId="0" fontId="21" fillId="0" borderId="78" xfId="0" applyFont="1" applyBorder="1"/>
    <xf numFmtId="0" fontId="21" fillId="0" borderId="79" xfId="0" applyFont="1" applyBorder="1"/>
    <xf numFmtId="9" fontId="21" fillId="0" borderId="63" xfId="1" applyFont="1" applyBorder="1"/>
    <xf numFmtId="0" fontId="0" fillId="0" borderId="81" xfId="0" applyBorder="1"/>
    <xf numFmtId="0" fontId="31" fillId="8" borderId="0" xfId="0" applyFont="1" applyFill="1" applyAlignment="1">
      <alignment horizontal="center"/>
    </xf>
    <xf numFmtId="0" fontId="2" fillId="8" borderId="0" xfId="0" quotePrefix="1" applyFont="1" applyFill="1"/>
    <xf numFmtId="0" fontId="25" fillId="8" borderId="0" xfId="0" applyFont="1" applyFill="1" applyAlignment="1">
      <alignment vertical="center"/>
    </xf>
    <xf numFmtId="0" fontId="5" fillId="8" borderId="0" xfId="0" applyFont="1" applyFill="1" applyAlignment="1">
      <alignment vertical="center"/>
    </xf>
    <xf numFmtId="0" fontId="5" fillId="8" borderId="13" xfId="0" applyFont="1" applyFill="1" applyBorder="1" applyAlignment="1">
      <alignment vertical="center"/>
    </xf>
    <xf numFmtId="0" fontId="5" fillId="8" borderId="0" xfId="0" applyFont="1" applyFill="1"/>
    <xf numFmtId="0" fontId="13" fillId="8" borderId="10" xfId="0" applyFont="1" applyFill="1" applyBorder="1"/>
    <xf numFmtId="0" fontId="13" fillId="8" borderId="0" xfId="0" applyFont="1" applyFill="1"/>
    <xf numFmtId="0" fontId="32" fillId="11" borderId="0" xfId="0" applyFont="1" applyFill="1"/>
    <xf numFmtId="167" fontId="32" fillId="11" borderId="0" xfId="0" applyNumberFormat="1" applyFont="1" applyFill="1"/>
    <xf numFmtId="0" fontId="32" fillId="11" borderId="0" xfId="0" applyFont="1" applyFill="1" applyAlignment="1">
      <alignment horizontal="center"/>
    </xf>
    <xf numFmtId="0" fontId="30" fillId="11" borderId="0" xfId="0" applyFont="1" applyFill="1"/>
    <xf numFmtId="0" fontId="0" fillId="8" borderId="46" xfId="0" applyFill="1" applyBorder="1"/>
    <xf numFmtId="165" fontId="33" fillId="8" borderId="0" xfId="0" applyNumberFormat="1" applyFont="1" applyFill="1" applyAlignment="1">
      <alignment vertical="center"/>
    </xf>
    <xf numFmtId="165" fontId="25" fillId="0" borderId="0" xfId="1" applyNumberFormat="1" applyFont="1" applyBorder="1" applyAlignment="1" applyProtection="1">
      <alignment horizontal="center" vertical="center"/>
    </xf>
    <xf numFmtId="167" fontId="13" fillId="8" borderId="0" xfId="0" applyNumberFormat="1" applyFont="1" applyFill="1" applyAlignment="1" applyProtection="1">
      <alignment horizontal="center" vertical="center"/>
      <protection locked="0"/>
    </xf>
    <xf numFmtId="165" fontId="32" fillId="11" borderId="0" xfId="1" applyNumberFormat="1" applyFont="1" applyFill="1" applyProtection="1"/>
    <xf numFmtId="1" fontId="2" fillId="3" borderId="51" xfId="0" applyNumberFormat="1" applyFont="1" applyFill="1" applyBorder="1"/>
    <xf numFmtId="0" fontId="13" fillId="8" borderId="0" xfId="0" applyFont="1" applyFill="1" applyAlignment="1">
      <alignment vertical="center"/>
    </xf>
    <xf numFmtId="10" fontId="2" fillId="3" borderId="1" xfId="1" applyNumberFormat="1" applyFont="1" applyFill="1" applyBorder="1" applyProtection="1"/>
    <xf numFmtId="0" fontId="2" fillId="8" borderId="34" xfId="0" applyFont="1" applyFill="1" applyBorder="1"/>
    <xf numFmtId="0" fontId="2" fillId="8" borderId="37" xfId="0" applyFont="1" applyFill="1" applyBorder="1"/>
    <xf numFmtId="0" fontId="2" fillId="8" borderId="39" xfId="0" applyFont="1" applyFill="1" applyBorder="1"/>
    <xf numFmtId="10" fontId="2" fillId="11" borderId="47" xfId="0" applyNumberFormat="1" applyFont="1" applyFill="1" applyBorder="1" applyAlignment="1" applyProtection="1">
      <alignment horizontal="center"/>
      <protection locked="0"/>
    </xf>
    <xf numFmtId="10" fontId="2" fillId="11" borderId="49" xfId="0" applyNumberFormat="1" applyFont="1" applyFill="1" applyBorder="1" applyAlignment="1" applyProtection="1">
      <alignment horizontal="center"/>
      <protection locked="0"/>
    </xf>
    <xf numFmtId="0" fontId="25" fillId="8" borderId="0" xfId="0" quotePrefix="1" applyFont="1" applyFill="1" applyAlignment="1">
      <alignment vertical="center"/>
    </xf>
    <xf numFmtId="167" fontId="2" fillId="3" borderId="47" xfId="0" applyNumberFormat="1" applyFont="1" applyFill="1" applyBorder="1"/>
    <xf numFmtId="9" fontId="2" fillId="3" borderId="51" xfId="0" applyNumberFormat="1" applyFont="1" applyFill="1" applyBorder="1"/>
    <xf numFmtId="10" fontId="2" fillId="3" borderId="47" xfId="0" applyNumberFormat="1" applyFont="1" applyFill="1" applyBorder="1"/>
    <xf numFmtId="9" fontId="2" fillId="3" borderId="51" xfId="1" applyFont="1" applyFill="1" applyBorder="1" applyProtection="1"/>
    <xf numFmtId="0" fontId="25" fillId="8" borderId="0" xfId="0" applyFont="1" applyFill="1" applyAlignment="1">
      <alignment vertical="top"/>
    </xf>
    <xf numFmtId="167" fontId="2" fillId="3" borderId="51" xfId="0" applyNumberFormat="1" applyFont="1" applyFill="1" applyBorder="1"/>
    <xf numFmtId="173" fontId="13" fillId="3" borderId="0" xfId="1" applyNumberFormat="1" applyFont="1" applyFill="1" applyBorder="1" applyAlignment="1" applyProtection="1">
      <alignment vertical="center"/>
    </xf>
    <xf numFmtId="0" fontId="2" fillId="0" borderId="54" xfId="0" applyFont="1" applyBorder="1" applyAlignment="1">
      <alignment horizontal="left"/>
    </xf>
    <xf numFmtId="1" fontId="2" fillId="0" borderId="55" xfId="0" applyNumberFormat="1" applyFont="1" applyBorder="1" applyAlignment="1">
      <alignment horizontal="right"/>
    </xf>
    <xf numFmtId="0" fontId="0" fillId="8" borderId="0" xfId="0" applyFill="1" applyAlignment="1">
      <alignment wrapText="1"/>
    </xf>
    <xf numFmtId="171" fontId="2" fillId="3" borderId="40" xfId="0" applyNumberFormat="1" applyFont="1" applyFill="1" applyBorder="1"/>
    <xf numFmtId="0" fontId="2" fillId="3" borderId="37" xfId="0" applyFont="1" applyFill="1" applyBorder="1"/>
    <xf numFmtId="9" fontId="13" fillId="3" borderId="0" xfId="1" applyFont="1" applyFill="1" applyBorder="1" applyAlignment="1" applyProtection="1">
      <alignment horizontal="center" vertical="center"/>
    </xf>
    <xf numFmtId="165" fontId="2" fillId="3" borderId="51" xfId="1" applyNumberFormat="1" applyFont="1" applyFill="1" applyBorder="1" applyProtection="1"/>
    <xf numFmtId="0" fontId="11" fillId="9" borderId="62" xfId="0" applyFont="1" applyFill="1" applyBorder="1" applyAlignment="1">
      <alignment horizontal="center" vertical="center"/>
    </xf>
    <xf numFmtId="0" fontId="11" fillId="9" borderId="63" xfId="0" applyFont="1" applyFill="1" applyBorder="1" applyAlignment="1">
      <alignment horizontal="center" vertical="center"/>
    </xf>
    <xf numFmtId="0" fontId="0" fillId="0" borderId="37" xfId="0" applyBorder="1" applyAlignment="1">
      <alignment horizontal="center"/>
    </xf>
    <xf numFmtId="0" fontId="0" fillId="0" borderId="39" xfId="0" applyBorder="1" applyAlignment="1">
      <alignment horizontal="center"/>
    </xf>
    <xf numFmtId="3" fontId="0" fillId="0" borderId="47" xfId="0" applyNumberFormat="1" applyBorder="1" applyAlignment="1">
      <alignment horizontal="center"/>
    </xf>
    <xf numFmtId="3" fontId="0" fillId="0" borderId="49" xfId="0" applyNumberFormat="1" applyBorder="1" applyAlignment="1">
      <alignment horizontal="center"/>
    </xf>
    <xf numFmtId="3" fontId="0" fillId="0" borderId="37" xfId="0" applyNumberFormat="1" applyBorder="1" applyAlignment="1">
      <alignment horizontal="center"/>
    </xf>
    <xf numFmtId="3" fontId="0" fillId="0" borderId="39" xfId="0" applyNumberFormat="1" applyBorder="1" applyAlignment="1">
      <alignment horizontal="center"/>
    </xf>
    <xf numFmtId="0" fontId="13" fillId="0" borderId="0" xfId="0" applyFont="1"/>
    <xf numFmtId="0" fontId="34" fillId="0" borderId="0" xfId="0" applyFont="1" applyAlignment="1">
      <alignment horizontal="left" vertical="center"/>
    </xf>
    <xf numFmtId="10" fontId="25" fillId="11" borderId="1" xfId="1" applyNumberFormat="1" applyFont="1" applyFill="1" applyBorder="1" applyAlignment="1" applyProtection="1">
      <alignment horizontal="center" vertical="center"/>
      <protection locked="0"/>
    </xf>
    <xf numFmtId="174" fontId="25" fillId="11" borderId="1" xfId="0" applyNumberFormat="1" applyFont="1" applyFill="1" applyBorder="1" applyAlignment="1" applyProtection="1">
      <alignment horizontal="center" vertical="center"/>
      <protection locked="0"/>
    </xf>
    <xf numFmtId="14" fontId="25" fillId="11" borderId="1" xfId="0" applyNumberFormat="1" applyFont="1" applyFill="1" applyBorder="1" applyAlignment="1" applyProtection="1">
      <alignment horizontal="center" vertical="center"/>
      <protection locked="0"/>
    </xf>
    <xf numFmtId="167" fontId="25" fillId="11" borderId="1" xfId="0" applyNumberFormat="1" applyFont="1" applyFill="1" applyBorder="1" applyAlignment="1" applyProtection="1">
      <alignment horizontal="center" vertical="center"/>
      <protection locked="0"/>
    </xf>
    <xf numFmtId="167" fontId="25" fillId="11" borderId="1" xfId="1" applyNumberFormat="1" applyFont="1" applyFill="1" applyBorder="1" applyAlignment="1" applyProtection="1">
      <alignment horizontal="center" vertical="center"/>
      <protection locked="0"/>
    </xf>
    <xf numFmtId="9" fontId="25" fillId="11" borderId="1" xfId="1" applyFont="1" applyFill="1" applyBorder="1" applyAlignment="1" applyProtection="1">
      <alignment horizontal="center" vertical="center"/>
      <protection locked="0"/>
    </xf>
    <xf numFmtId="172" fontId="25" fillId="11" borderId="1" xfId="1" applyNumberFormat="1" applyFont="1" applyFill="1" applyBorder="1" applyAlignment="1" applyProtection="1">
      <alignment horizontal="center" vertical="center"/>
      <protection locked="0"/>
    </xf>
    <xf numFmtId="167" fontId="2" fillId="3" borderId="1" xfId="1" applyNumberFormat="1" applyFont="1" applyFill="1" applyBorder="1" applyAlignment="1" applyProtection="1">
      <alignment horizontal="right"/>
    </xf>
    <xf numFmtId="0" fontId="2" fillId="8" borderId="58" xfId="0" applyFont="1" applyFill="1" applyBorder="1"/>
    <xf numFmtId="10" fontId="2" fillId="11" borderId="59" xfId="0" applyNumberFormat="1" applyFont="1" applyFill="1" applyBorder="1" applyAlignment="1" applyProtection="1">
      <alignment horizontal="center"/>
      <protection locked="0"/>
    </xf>
    <xf numFmtId="0" fontId="11" fillId="9" borderId="62" xfId="0" applyFont="1" applyFill="1" applyBorder="1" applyAlignment="1">
      <alignment horizontal="left" vertical="center"/>
    </xf>
    <xf numFmtId="167" fontId="2" fillId="0" borderId="1" xfId="0" applyNumberFormat="1" applyFont="1" applyBorder="1" applyAlignment="1">
      <alignment horizontal="center"/>
    </xf>
    <xf numFmtId="0" fontId="2" fillId="0" borderId="1" xfId="0" applyFont="1" applyBorder="1" applyAlignment="1">
      <alignment horizontal="center"/>
    </xf>
    <xf numFmtId="165" fontId="2" fillId="0" borderId="1" xfId="1" applyNumberFormat="1" applyFont="1" applyBorder="1" applyAlignment="1">
      <alignment horizontal="center"/>
    </xf>
    <xf numFmtId="166" fontId="0" fillId="0" borderId="0" xfId="5" applyFont="1" applyBorder="1" applyAlignment="1">
      <alignment horizontal="center" vertical="center"/>
    </xf>
    <xf numFmtId="0" fontId="0" fillId="0" borderId="0" xfId="0" applyAlignment="1">
      <alignment horizontal="center" vertical="center"/>
    </xf>
    <xf numFmtId="177" fontId="0" fillId="0" borderId="0" xfId="0" applyNumberFormat="1"/>
    <xf numFmtId="0" fontId="37" fillId="0" borderId="0" xfId="0" applyFont="1"/>
    <xf numFmtId="9" fontId="0" fillId="0" borderId="0" xfId="1" applyFont="1"/>
    <xf numFmtId="10" fontId="0" fillId="0" borderId="0" xfId="1" applyNumberFormat="1" applyFont="1" applyBorder="1"/>
    <xf numFmtId="9" fontId="0" fillId="0" borderId="0" xfId="1" applyFont="1" applyBorder="1"/>
    <xf numFmtId="0" fontId="38" fillId="9" borderId="83" xfId="0" applyFont="1" applyFill="1" applyBorder="1" applyAlignment="1">
      <alignment horizontal="center" wrapText="1"/>
    </xf>
    <xf numFmtId="0" fontId="38" fillId="9" borderId="60" xfId="0" applyFont="1" applyFill="1" applyBorder="1" applyAlignment="1">
      <alignment horizontal="center"/>
    </xf>
    <xf numFmtId="0" fontId="38" fillId="9" borderId="84" xfId="0" applyFont="1" applyFill="1" applyBorder="1" applyAlignment="1">
      <alignment horizontal="center" wrapText="1"/>
    </xf>
    <xf numFmtId="44" fontId="0" fillId="0" borderId="0" xfId="0" applyNumberFormat="1"/>
    <xf numFmtId="44" fontId="0" fillId="0" borderId="63" xfId="0" applyNumberFormat="1" applyBorder="1"/>
    <xf numFmtId="0" fontId="0" fillId="0" borderId="62" xfId="0" applyBorder="1" applyAlignment="1">
      <alignment horizontal="center" wrapText="1"/>
    </xf>
    <xf numFmtId="0" fontId="0" fillId="0" borderId="63" xfId="0" applyBorder="1" applyAlignment="1">
      <alignment horizontal="center"/>
    </xf>
    <xf numFmtId="0" fontId="0" fillId="0" borderId="62" xfId="0" applyBorder="1" applyAlignment="1">
      <alignment horizontal="left" wrapText="1"/>
    </xf>
    <xf numFmtId="166" fontId="0" fillId="0" borderId="63" xfId="5" applyFont="1" applyBorder="1" applyAlignment="1">
      <alignment horizontal="center" vertical="center"/>
    </xf>
    <xf numFmtId="176" fontId="0" fillId="0" borderId="0" xfId="0" applyNumberFormat="1"/>
    <xf numFmtId="176" fontId="0" fillId="0" borderId="63" xfId="0" applyNumberFormat="1" applyBorder="1"/>
    <xf numFmtId="166" fontId="0" fillId="0" borderId="0" xfId="5" applyFont="1" applyBorder="1"/>
    <xf numFmtId="166" fontId="0" fillId="0" borderId="63" xfId="5" applyFont="1" applyBorder="1"/>
    <xf numFmtId="0" fontId="37" fillId="0" borderId="62" xfId="0" applyFont="1" applyBorder="1"/>
    <xf numFmtId="166" fontId="37" fillId="0" borderId="0" xfId="5" applyFont="1" applyBorder="1"/>
    <xf numFmtId="44" fontId="37" fillId="0" borderId="63" xfId="5" applyNumberFormat="1" applyFont="1" applyBorder="1"/>
    <xf numFmtId="0" fontId="37" fillId="0" borderId="62" xfId="0" applyFont="1" applyBorder="1" applyAlignment="1">
      <alignment wrapText="1"/>
    </xf>
    <xf numFmtId="10" fontId="0" fillId="0" borderId="63" xfId="1" applyNumberFormat="1" applyFont="1" applyBorder="1"/>
    <xf numFmtId="9" fontId="0" fillId="0" borderId="65" xfId="1" applyFont="1" applyBorder="1"/>
    <xf numFmtId="9" fontId="0" fillId="0" borderId="66" xfId="1" applyFont="1" applyBorder="1"/>
    <xf numFmtId="0" fontId="35" fillId="9" borderId="43" xfId="0" applyFont="1" applyFill="1" applyBorder="1"/>
    <xf numFmtId="0" fontId="11" fillId="9" borderId="70" xfId="0" applyFont="1" applyFill="1" applyBorder="1" applyAlignment="1">
      <alignment vertical="center"/>
    </xf>
    <xf numFmtId="0" fontId="36" fillId="0" borderId="0" xfId="0" applyFont="1"/>
    <xf numFmtId="10" fontId="2" fillId="3" borderId="51" xfId="0" applyNumberFormat="1" applyFont="1" applyFill="1" applyBorder="1" applyAlignment="1">
      <alignment horizontal="center"/>
    </xf>
    <xf numFmtId="0" fontId="2" fillId="0" borderId="41" xfId="0" applyFont="1" applyBorder="1" applyAlignment="1">
      <alignment horizontal="left"/>
    </xf>
    <xf numFmtId="1" fontId="2" fillId="3" borderId="42" xfId="0" applyNumberFormat="1" applyFont="1" applyFill="1" applyBorder="1" applyAlignment="1">
      <alignment horizontal="right"/>
    </xf>
    <xf numFmtId="3" fontId="2" fillId="0" borderId="86" xfId="0" applyNumberFormat="1" applyFont="1" applyBorder="1" applyAlignment="1">
      <alignment horizontal="center"/>
    </xf>
    <xf numFmtId="3" fontId="2" fillId="0" borderId="85" xfId="0" applyNumberFormat="1" applyFont="1" applyBorder="1" applyAlignment="1">
      <alignment horizontal="center" wrapText="1"/>
    </xf>
    <xf numFmtId="0" fontId="2" fillId="0" borderId="51" xfId="0" applyFont="1" applyBorder="1" applyAlignment="1">
      <alignment horizontal="right"/>
    </xf>
    <xf numFmtId="167" fontId="2" fillId="0" borderId="47" xfId="0" applyNumberFormat="1" applyFont="1" applyBorder="1" applyAlignment="1">
      <alignment horizontal="right"/>
    </xf>
    <xf numFmtId="165" fontId="2" fillId="0" borderId="47" xfId="1" applyNumberFormat="1" applyFont="1" applyBorder="1" applyAlignment="1" applyProtection="1">
      <alignment horizontal="right"/>
    </xf>
    <xf numFmtId="167" fontId="2" fillId="0" borderId="47" xfId="1" applyNumberFormat="1" applyFont="1" applyBorder="1" applyAlignment="1" applyProtection="1">
      <alignment horizontal="right"/>
    </xf>
    <xf numFmtId="0" fontId="2" fillId="3" borderId="47" xfId="0" applyFont="1" applyFill="1" applyBorder="1" applyAlignment="1">
      <alignment horizontal="right"/>
    </xf>
    <xf numFmtId="175" fontId="2" fillId="0" borderId="47" xfId="1" applyNumberFormat="1" applyFont="1" applyBorder="1" applyAlignment="1" applyProtection="1">
      <alignment horizontal="right"/>
    </xf>
    <xf numFmtId="167" fontId="2" fillId="0" borderId="55" xfId="1" applyNumberFormat="1" applyFont="1" applyBorder="1" applyAlignment="1" applyProtection="1">
      <alignment horizontal="right"/>
    </xf>
    <xf numFmtId="9" fontId="2" fillId="0" borderId="49" xfId="1" applyFont="1" applyBorder="1" applyAlignment="1" applyProtection="1">
      <alignment horizontal="right"/>
    </xf>
    <xf numFmtId="165" fontId="2" fillId="11" borderId="1" xfId="1" applyNumberFormat="1" applyFont="1" applyFill="1" applyBorder="1" applyAlignment="1" applyProtection="1">
      <alignment horizontal="center"/>
      <protection locked="0"/>
    </xf>
    <xf numFmtId="165" fontId="2" fillId="11" borderId="47" xfId="1" applyNumberFormat="1" applyFont="1" applyFill="1" applyBorder="1" applyAlignment="1" applyProtection="1">
      <alignment horizontal="center"/>
      <protection locked="0"/>
    </xf>
    <xf numFmtId="165" fontId="25" fillId="8" borderId="0" xfId="1" applyNumberFormat="1" applyFont="1" applyFill="1" applyBorder="1" applyAlignment="1" applyProtection="1">
      <alignment horizontal="center" vertical="center"/>
    </xf>
    <xf numFmtId="0" fontId="2" fillId="0" borderId="59" xfId="0" applyFont="1" applyBorder="1" applyAlignment="1">
      <alignment horizontal="right"/>
    </xf>
    <xf numFmtId="0" fontId="2" fillId="0" borderId="58" xfId="0" applyFont="1" applyBorder="1" applyAlignment="1">
      <alignment horizontal="right"/>
    </xf>
    <xf numFmtId="0" fontId="39" fillId="8" borderId="0" xfId="0" applyFont="1" applyFill="1" applyAlignment="1">
      <alignment vertical="center"/>
    </xf>
    <xf numFmtId="0" fontId="36" fillId="8" borderId="0" xfId="0" applyFont="1" applyFill="1"/>
    <xf numFmtId="0" fontId="25" fillId="11" borderId="1" xfId="0" applyFont="1" applyFill="1" applyBorder="1" applyAlignment="1" applyProtection="1">
      <alignment horizontal="center" vertical="center"/>
      <protection locked="0"/>
    </xf>
    <xf numFmtId="0" fontId="0" fillId="0" borderId="1" xfId="0" applyBorder="1"/>
    <xf numFmtId="0" fontId="0" fillId="8" borderId="1" xfId="0" applyFill="1" applyBorder="1"/>
    <xf numFmtId="0" fontId="31" fillId="9" borderId="1" xfId="0" applyFont="1" applyFill="1" applyBorder="1"/>
    <xf numFmtId="9" fontId="2" fillId="3" borderId="55" xfId="1" applyFont="1" applyFill="1" applyBorder="1" applyAlignment="1" applyProtection="1">
      <alignment horizontal="right"/>
    </xf>
    <xf numFmtId="167" fontId="2" fillId="3" borderId="49" xfId="1" applyNumberFormat="1" applyFont="1" applyFill="1" applyBorder="1" applyAlignment="1" applyProtection="1">
      <alignment horizontal="right"/>
    </xf>
    <xf numFmtId="9" fontId="2" fillId="3" borderId="47" xfId="1" applyFont="1" applyFill="1" applyBorder="1" applyAlignment="1" applyProtection="1">
      <alignment horizontal="right"/>
    </xf>
    <xf numFmtId="167" fontId="2" fillId="3" borderId="49" xfId="0" applyNumberFormat="1" applyFont="1" applyFill="1" applyBorder="1" applyAlignment="1">
      <alignment horizontal="right"/>
    </xf>
    <xf numFmtId="165" fontId="2" fillId="0" borderId="59" xfId="1" applyNumberFormat="1" applyFont="1" applyBorder="1" applyAlignment="1" applyProtection="1">
      <alignment horizontal="right"/>
    </xf>
    <xf numFmtId="169" fontId="2" fillId="0" borderId="47" xfId="1" applyNumberFormat="1" applyFont="1" applyBorder="1" applyAlignment="1" applyProtection="1">
      <alignment horizontal="right"/>
    </xf>
    <xf numFmtId="165" fontId="2" fillId="0" borderId="49" xfId="1" applyNumberFormat="1" applyFont="1" applyBorder="1" applyAlignment="1" applyProtection="1">
      <alignment horizontal="right"/>
    </xf>
    <xf numFmtId="168" fontId="2" fillId="0" borderId="47" xfId="0" applyNumberFormat="1" applyFont="1" applyBorder="1" applyAlignment="1">
      <alignment horizontal="right"/>
    </xf>
    <xf numFmtId="167" fontId="2" fillId="0" borderId="57" xfId="0" applyNumberFormat="1" applyFont="1" applyBorder="1" applyAlignment="1">
      <alignment horizontal="right"/>
    </xf>
    <xf numFmtId="165" fontId="2" fillId="3" borderId="49" xfId="1" applyNumberFormat="1" applyFont="1" applyFill="1" applyBorder="1" applyAlignment="1" applyProtection="1">
      <alignment horizontal="right"/>
    </xf>
    <xf numFmtId="14" fontId="2" fillId="3" borderId="2" xfId="0" applyNumberFormat="1" applyFont="1" applyFill="1" applyBorder="1" applyAlignment="1">
      <alignment horizontal="right"/>
    </xf>
    <xf numFmtId="10" fontId="21" fillId="0" borderId="38" xfId="1" applyNumberFormat="1" applyFont="1" applyBorder="1" applyAlignment="1">
      <alignment horizontal="right"/>
    </xf>
    <xf numFmtId="10" fontId="21" fillId="0" borderId="66" xfId="0" applyNumberFormat="1" applyFont="1" applyBorder="1" applyAlignment="1">
      <alignment horizontal="right"/>
    </xf>
    <xf numFmtId="167" fontId="21" fillId="0" borderId="66" xfId="0" applyNumberFormat="1" applyFont="1" applyBorder="1" applyAlignment="1">
      <alignment horizontal="right"/>
    </xf>
    <xf numFmtId="10" fontId="25" fillId="3" borderId="0" xfId="1" applyNumberFormat="1" applyFont="1" applyFill="1" applyBorder="1" applyAlignment="1" applyProtection="1">
      <alignment horizontal="center" vertical="center"/>
    </xf>
    <xf numFmtId="167" fontId="25" fillId="0" borderId="0" xfId="1" applyNumberFormat="1" applyFont="1" applyBorder="1" applyAlignment="1" applyProtection="1">
      <alignment horizontal="center" vertical="center"/>
    </xf>
    <xf numFmtId="167" fontId="25" fillId="3" borderId="0" xfId="1" applyNumberFormat="1" applyFont="1" applyFill="1" applyBorder="1" applyAlignment="1" applyProtection="1">
      <alignment horizontal="center" vertical="center"/>
    </xf>
    <xf numFmtId="0" fontId="25" fillId="3" borderId="0" xfId="1" applyNumberFormat="1" applyFont="1" applyFill="1" applyBorder="1" applyAlignment="1" applyProtection="1">
      <alignment horizontal="center" vertical="center"/>
    </xf>
    <xf numFmtId="165" fontId="25" fillId="3" borderId="0" xfId="1" applyNumberFormat="1" applyFont="1" applyFill="1" applyBorder="1" applyAlignment="1" applyProtection="1">
      <alignment horizontal="center" vertical="center"/>
    </xf>
    <xf numFmtId="178" fontId="25" fillId="3" borderId="0" xfId="1" applyNumberFormat="1" applyFont="1" applyFill="1" applyBorder="1" applyAlignment="1" applyProtection="1">
      <alignment horizontal="center" vertical="center"/>
    </xf>
    <xf numFmtId="179" fontId="25" fillId="3" borderId="0" xfId="1" applyNumberFormat="1" applyFont="1" applyFill="1" applyBorder="1" applyAlignment="1" applyProtection="1">
      <alignment horizontal="center" vertical="center"/>
    </xf>
    <xf numFmtId="9" fontId="25" fillId="3" borderId="0" xfId="1" applyFont="1" applyFill="1" applyBorder="1" applyAlignment="1" applyProtection="1">
      <alignment horizontal="center" vertical="center"/>
    </xf>
    <xf numFmtId="167" fontId="2" fillId="8" borderId="0" xfId="0" applyNumberFormat="1" applyFont="1" applyFill="1" applyAlignment="1">
      <alignment horizontal="center" vertical="center"/>
    </xf>
    <xf numFmtId="167" fontId="2" fillId="0" borderId="2" xfId="0" applyNumberFormat="1" applyFont="1" applyBorder="1"/>
    <xf numFmtId="167" fontId="2" fillId="0" borderId="3" xfId="0" applyNumberFormat="1" applyFont="1" applyBorder="1" applyAlignment="1">
      <alignment horizontal="center"/>
    </xf>
    <xf numFmtId="0" fontId="2" fillId="0" borderId="2" xfId="0" applyFont="1" applyBorder="1" applyAlignment="1">
      <alignment horizontal="center"/>
    </xf>
    <xf numFmtId="0" fontId="2" fillId="0" borderId="0" xfId="0" applyFont="1" applyAlignment="1">
      <alignment horizontal="center"/>
    </xf>
    <xf numFmtId="0" fontId="2" fillId="0" borderId="60" xfId="0" applyFont="1" applyBorder="1"/>
    <xf numFmtId="0" fontId="40" fillId="0" borderId="0" xfId="0" applyFont="1" applyAlignment="1">
      <alignment horizontal="center" vertical="center"/>
    </xf>
    <xf numFmtId="1" fontId="25" fillId="11" borderId="1" xfId="1" applyNumberFormat="1" applyFont="1" applyFill="1" applyBorder="1" applyAlignment="1" applyProtection="1">
      <alignment horizontal="center" vertical="center"/>
      <protection locked="0"/>
    </xf>
    <xf numFmtId="0" fontId="41" fillId="9" borderId="0" xfId="0" applyFont="1" applyFill="1"/>
    <xf numFmtId="0" fontId="42" fillId="9" borderId="0" xfId="0" applyFont="1" applyFill="1"/>
    <xf numFmtId="0" fontId="41" fillId="9" borderId="0" xfId="0" applyFont="1" applyFill="1" applyAlignment="1">
      <alignment vertical="center" wrapText="1"/>
    </xf>
    <xf numFmtId="0" fontId="41" fillId="9" borderId="0" xfId="0" applyFont="1" applyFill="1" applyAlignment="1">
      <alignment vertical="center"/>
    </xf>
    <xf numFmtId="0" fontId="43" fillId="11" borderId="0" xfId="0" applyFont="1" applyFill="1"/>
    <xf numFmtId="165" fontId="43" fillId="11" borderId="0" xfId="1" applyNumberFormat="1" applyFont="1" applyFill="1" applyProtection="1"/>
    <xf numFmtId="167" fontId="43" fillId="11" borderId="0" xfId="0" applyNumberFormat="1" applyFont="1" applyFill="1"/>
    <xf numFmtId="0" fontId="43" fillId="11" borderId="0" xfId="0" applyFont="1" applyFill="1" applyAlignment="1">
      <alignment horizontal="center"/>
    </xf>
    <xf numFmtId="0" fontId="44" fillId="11" borderId="0" xfId="0" applyFont="1" applyFill="1"/>
    <xf numFmtId="0" fontId="42" fillId="8" borderId="0" xfId="0" applyFont="1" applyFill="1"/>
    <xf numFmtId="0" fontId="45" fillId="8" borderId="0" xfId="0" applyFont="1" applyFill="1"/>
    <xf numFmtId="0" fontId="46" fillId="8" borderId="0" xfId="0" applyFont="1" applyFill="1" applyAlignment="1">
      <alignment vertical="center"/>
    </xf>
    <xf numFmtId="0" fontId="42" fillId="0" borderId="0" xfId="0" applyFont="1"/>
    <xf numFmtId="167" fontId="42" fillId="8" borderId="0" xfId="0" applyNumberFormat="1" applyFont="1" applyFill="1"/>
    <xf numFmtId="0" fontId="26" fillId="0" borderId="0" xfId="0" applyFont="1" applyAlignment="1">
      <alignment horizontal="center"/>
    </xf>
    <xf numFmtId="0" fontId="27" fillId="0" borderId="0" xfId="0" applyFont="1"/>
    <xf numFmtId="0" fontId="28" fillId="0" borderId="0" xfId="0" applyFont="1" applyAlignment="1">
      <alignment horizontal="right"/>
    </xf>
    <xf numFmtId="0" fontId="28" fillId="0" borderId="0" xfId="18" applyFont="1" applyBorder="1" applyAlignment="1" applyProtection="1">
      <alignment horizontal="right"/>
      <protection locked="0"/>
    </xf>
    <xf numFmtId="0" fontId="28" fillId="0" borderId="0" xfId="0" applyFont="1" applyAlignment="1">
      <alignment horizontal="left" vertical="top" wrapText="1"/>
    </xf>
    <xf numFmtId="0" fontId="10" fillId="9" borderId="0" xfId="18" applyFill="1" applyAlignment="1" applyProtection="1">
      <alignment horizontal="center" vertical="center"/>
    </xf>
    <xf numFmtId="0" fontId="14" fillId="9" borderId="0" xfId="0" applyFont="1" applyFill="1" applyAlignment="1">
      <alignment horizontal="center" vertical="center"/>
    </xf>
    <xf numFmtId="0" fontId="41" fillId="9" borderId="0" xfId="18" applyFont="1" applyFill="1" applyAlignment="1" applyProtection="1">
      <alignment horizontal="center" vertical="center"/>
    </xf>
    <xf numFmtId="0" fontId="41" fillId="9" borderId="0" xfId="18" applyFont="1" applyFill="1" applyAlignment="1" applyProtection="1">
      <alignment horizontal="right" vertical="center"/>
    </xf>
    <xf numFmtId="0" fontId="47" fillId="8" borderId="0" xfId="18" applyFont="1" applyFill="1" applyAlignment="1" applyProtection="1">
      <alignment horizontal="left"/>
    </xf>
    <xf numFmtId="0" fontId="41" fillId="10" borderId="0" xfId="18" applyFont="1" applyFill="1" applyAlignment="1" applyProtection="1">
      <alignment horizontal="center" vertical="center"/>
    </xf>
    <xf numFmtId="0" fontId="41" fillId="9" borderId="0" xfId="18" applyFont="1" applyFill="1" applyAlignment="1" applyProtection="1">
      <alignment horizontal="center" vertical="center" wrapText="1"/>
    </xf>
    <xf numFmtId="0" fontId="10" fillId="9" borderId="0" xfId="18" applyFill="1" applyAlignment="1" applyProtection="1">
      <alignment horizontal="right" vertical="center"/>
    </xf>
    <xf numFmtId="167" fontId="25" fillId="11" borderId="2" xfId="0" applyNumberFormat="1" applyFont="1" applyFill="1" applyBorder="1" applyAlignment="1" applyProtection="1">
      <alignment horizontal="right" vertical="center" indent="1"/>
      <protection locked="0"/>
    </xf>
    <xf numFmtId="167" fontId="25" fillId="11" borderId="3" xfId="0" applyNumberFormat="1" applyFont="1" applyFill="1" applyBorder="1" applyAlignment="1" applyProtection="1">
      <alignment horizontal="right" vertical="center" indent="1"/>
      <protection locked="0"/>
    </xf>
    <xf numFmtId="167" fontId="25" fillId="11" borderId="4" xfId="0" applyNumberFormat="1" applyFont="1" applyFill="1" applyBorder="1" applyAlignment="1" applyProtection="1">
      <alignment horizontal="right" vertical="center" indent="1"/>
      <protection locked="0"/>
    </xf>
    <xf numFmtId="0" fontId="24" fillId="8" borderId="0" xfId="18" applyFont="1" applyFill="1" applyAlignment="1" applyProtection="1">
      <alignment horizontal="left"/>
    </xf>
    <xf numFmtId="0" fontId="10" fillId="10" borderId="0" xfId="18" applyFill="1" applyAlignment="1" applyProtection="1">
      <alignment horizontal="center" vertical="center"/>
    </xf>
    <xf numFmtId="0" fontId="10" fillId="9" borderId="0" xfId="18" applyFill="1" applyAlignment="1" applyProtection="1">
      <alignment horizontal="center" vertical="center" wrapText="1"/>
    </xf>
    <xf numFmtId="0" fontId="25" fillId="8" borderId="0" xfId="0" applyFont="1" applyFill="1" applyAlignment="1">
      <alignment horizontal="left" wrapText="1"/>
    </xf>
    <xf numFmtId="10" fontId="25" fillId="11" borderId="2" xfId="1" applyNumberFormat="1" applyFont="1" applyFill="1" applyBorder="1" applyAlignment="1" applyProtection="1">
      <alignment horizontal="center" vertical="center"/>
      <protection locked="0"/>
    </xf>
    <xf numFmtId="10" fontId="25" fillId="11" borderId="4" xfId="1" applyNumberFormat="1" applyFont="1" applyFill="1" applyBorder="1" applyAlignment="1" applyProtection="1">
      <alignment horizontal="center" vertical="center"/>
      <protection locked="0"/>
    </xf>
    <xf numFmtId="173" fontId="25" fillId="11" borderId="2" xfId="1" applyNumberFormat="1" applyFont="1" applyFill="1" applyBorder="1" applyAlignment="1" applyProtection="1">
      <alignment horizontal="center" vertical="center"/>
      <protection locked="0"/>
    </xf>
    <xf numFmtId="173" fontId="25" fillId="11" borderId="4" xfId="1" applyNumberFormat="1" applyFont="1" applyFill="1" applyBorder="1" applyAlignment="1" applyProtection="1">
      <alignment horizontal="center" vertical="center"/>
      <protection locked="0"/>
    </xf>
    <xf numFmtId="49" fontId="25" fillId="11" borderId="2" xfId="1" applyNumberFormat="1" applyFont="1" applyFill="1" applyBorder="1" applyAlignment="1" applyProtection="1">
      <alignment horizontal="center" vertical="center"/>
      <protection locked="0"/>
    </xf>
    <xf numFmtId="49" fontId="25" fillId="11" borderId="4" xfId="1" applyNumberFormat="1" applyFont="1" applyFill="1" applyBorder="1" applyAlignment="1" applyProtection="1">
      <alignment horizontal="center" vertical="center"/>
      <protection locked="0"/>
    </xf>
    <xf numFmtId="0" fontId="11" fillId="9" borderId="31" xfId="0" applyFont="1" applyFill="1" applyBorder="1" applyAlignment="1">
      <alignment horizontal="left"/>
    </xf>
    <xf numFmtId="0" fontId="11" fillId="9" borderId="33" xfId="0" applyFont="1" applyFill="1" applyBorder="1" applyAlignment="1">
      <alignment horizontal="left"/>
    </xf>
    <xf numFmtId="167" fontId="2" fillId="0" borderId="2" xfId="0" applyNumberFormat="1" applyFont="1" applyBorder="1" applyAlignment="1">
      <alignment horizontal="center"/>
    </xf>
    <xf numFmtId="167" fontId="2" fillId="0" borderId="38" xfId="0" applyNumberFormat="1" applyFont="1" applyBorder="1" applyAlignment="1">
      <alignment horizontal="center"/>
    </xf>
    <xf numFmtId="0" fontId="2" fillId="0" borderId="46" xfId="0" applyFont="1" applyBorder="1" applyAlignment="1">
      <alignment horizontal="left" indent="1"/>
    </xf>
    <xf numFmtId="0" fontId="2" fillId="0" borderId="4" xfId="0" applyFont="1" applyBorder="1" applyAlignment="1">
      <alignment horizontal="left" indent="1"/>
    </xf>
    <xf numFmtId="0" fontId="2" fillId="0" borderId="46" xfId="0" applyFont="1" applyBorder="1"/>
    <xf numFmtId="0" fontId="2" fillId="0" borderId="4" xfId="0" applyFont="1" applyBorder="1"/>
    <xf numFmtId="0" fontId="2" fillId="0" borderId="31" xfId="0" applyFont="1" applyBorder="1" applyAlignment="1">
      <alignment horizontal="left"/>
    </xf>
    <xf numFmtId="0" fontId="2" fillId="0" borderId="32" xfId="0" applyFont="1" applyBorder="1" applyAlignment="1">
      <alignment horizontal="left"/>
    </xf>
    <xf numFmtId="0" fontId="11" fillId="9" borderId="32" xfId="0" applyFont="1" applyFill="1" applyBorder="1" applyAlignment="1">
      <alignment horizontal="left"/>
    </xf>
    <xf numFmtId="0" fontId="2" fillId="0" borderId="48" xfId="0" applyFont="1" applyBorder="1"/>
    <xf numFmtId="0" fontId="2" fillId="0" borderId="40" xfId="0" applyFont="1" applyBorder="1"/>
    <xf numFmtId="167" fontId="2" fillId="0" borderId="45" xfId="1" applyNumberFormat="1" applyFont="1" applyFill="1" applyBorder="1" applyAlignment="1" applyProtection="1">
      <alignment horizontal="center"/>
    </xf>
    <xf numFmtId="167" fontId="2" fillId="0" borderId="36" xfId="1" applyNumberFormat="1" applyFont="1" applyFill="1" applyBorder="1" applyAlignment="1" applyProtection="1">
      <alignment horizontal="center"/>
    </xf>
    <xf numFmtId="0" fontId="11" fillId="9" borderId="28" xfId="0" applyFont="1" applyFill="1" applyBorder="1" applyAlignment="1">
      <alignment horizontal="left"/>
    </xf>
    <xf numFmtId="0" fontId="11" fillId="9" borderId="30" xfId="0" applyFont="1" applyFill="1" applyBorder="1" applyAlignment="1">
      <alignment horizontal="left"/>
    </xf>
    <xf numFmtId="0" fontId="2" fillId="0" borderId="43" xfId="0" applyFont="1" applyBorder="1"/>
    <xf numFmtId="0" fontId="2" fillId="0" borderId="44" xfId="0" applyFont="1" applyBorder="1"/>
    <xf numFmtId="0" fontId="2" fillId="3" borderId="35" xfId="0" applyFont="1" applyFill="1" applyBorder="1" applyAlignment="1">
      <alignment horizontal="center"/>
    </xf>
    <xf numFmtId="0" fontId="2" fillId="3" borderId="36" xfId="0" applyFont="1" applyFill="1" applyBorder="1" applyAlignment="1">
      <alignment horizontal="center"/>
    </xf>
    <xf numFmtId="0" fontId="25" fillId="3" borderId="28" xfId="0" applyFont="1" applyFill="1" applyBorder="1" applyAlignment="1">
      <alignment horizontal="center" vertical="center"/>
    </xf>
    <xf numFmtId="0" fontId="25" fillId="3" borderId="30" xfId="0" applyFont="1" applyFill="1" applyBorder="1" applyAlignment="1">
      <alignment horizontal="center" vertical="center"/>
    </xf>
    <xf numFmtId="0" fontId="25" fillId="3" borderId="29" xfId="0" applyFont="1" applyFill="1" applyBorder="1" applyAlignment="1">
      <alignment horizontal="center" vertical="center"/>
    </xf>
    <xf numFmtId="0" fontId="29" fillId="8" borderId="0" xfId="18" quotePrefix="1" applyFont="1" applyFill="1" applyAlignment="1">
      <alignment vertical="top" wrapText="1"/>
    </xf>
    <xf numFmtId="0" fontId="29" fillId="8" borderId="0" xfId="18" applyFont="1" applyFill="1" applyAlignment="1">
      <alignment vertical="top" wrapText="1"/>
    </xf>
    <xf numFmtId="0" fontId="12" fillId="8" borderId="0" xfId="0" applyFont="1" applyFill="1" applyAlignment="1">
      <alignment horizontal="left" vertical="top" wrapText="1"/>
    </xf>
    <xf numFmtId="0" fontId="9" fillId="9" borderId="28" xfId="0" applyFont="1" applyFill="1" applyBorder="1" applyAlignment="1">
      <alignment horizontal="center" vertical="center"/>
    </xf>
    <xf numFmtId="0" fontId="9" fillId="9" borderId="29" xfId="0" applyFont="1" applyFill="1" applyBorder="1" applyAlignment="1">
      <alignment horizontal="center" vertical="center"/>
    </xf>
    <xf numFmtId="0" fontId="9" fillId="9" borderId="30" xfId="0" applyFont="1" applyFill="1" applyBorder="1" applyAlignment="1">
      <alignment horizontal="center" vertical="center"/>
    </xf>
    <xf numFmtId="0" fontId="10" fillId="9" borderId="0" xfId="18" applyFill="1" applyAlignment="1">
      <alignment horizontal="center" vertical="center"/>
    </xf>
    <xf numFmtId="0" fontId="10" fillId="10" borderId="0" xfId="18" applyFill="1" applyAlignment="1">
      <alignment horizontal="center" vertical="center"/>
    </xf>
    <xf numFmtId="0" fontId="10" fillId="9" borderId="0" xfId="18" applyFill="1" applyBorder="1" applyAlignment="1">
      <alignment horizontal="center" vertical="center"/>
    </xf>
    <xf numFmtId="0" fontId="15" fillId="9" borderId="31" xfId="0" applyFont="1" applyFill="1" applyBorder="1" applyAlignment="1">
      <alignment horizontal="center"/>
    </xf>
    <xf numFmtId="0" fontId="15" fillId="9" borderId="33" xfId="0" applyFont="1" applyFill="1" applyBorder="1" applyAlignment="1">
      <alignment horizontal="center"/>
    </xf>
    <xf numFmtId="14" fontId="13" fillId="3" borderId="0" xfId="0" applyNumberFormat="1" applyFont="1" applyFill="1" applyAlignment="1">
      <alignment horizontal="right"/>
    </xf>
    <xf numFmtId="0" fontId="2" fillId="0" borderId="50" xfId="0" applyFont="1" applyBorder="1"/>
    <xf numFmtId="0" fontId="2" fillId="0" borderId="74" xfId="0" applyFont="1" applyBorder="1"/>
    <xf numFmtId="0" fontId="0" fillId="8" borderId="46" xfId="0" applyFill="1" applyBorder="1"/>
    <xf numFmtId="0" fontId="0" fillId="8" borderId="3" xfId="0" applyFill="1" applyBorder="1"/>
    <xf numFmtId="0" fontId="2" fillId="0" borderId="46" xfId="0" applyFont="1" applyBorder="1" applyAlignment="1">
      <alignment horizontal="right"/>
    </xf>
    <xf numFmtId="0" fontId="2" fillId="0" borderId="4" xfId="0" applyFont="1" applyBorder="1" applyAlignment="1">
      <alignment horizontal="right"/>
    </xf>
    <xf numFmtId="0" fontId="2" fillId="0" borderId="46" xfId="0" quotePrefix="1" applyFont="1" applyBorder="1" applyAlignment="1">
      <alignment horizontal="right"/>
    </xf>
    <xf numFmtId="0" fontId="2" fillId="0" borderId="4" xfId="0" quotePrefix="1" applyFont="1" applyBorder="1" applyAlignment="1">
      <alignment horizontal="right"/>
    </xf>
    <xf numFmtId="0" fontId="2" fillId="0" borderId="64" xfId="0" applyFont="1" applyBorder="1"/>
    <xf numFmtId="0" fontId="2" fillId="0" borderId="75" xfId="0" applyFont="1" applyBorder="1"/>
    <xf numFmtId="0" fontId="10" fillId="10" borderId="0" xfId="0" applyFont="1" applyFill="1" applyAlignment="1">
      <alignment horizontal="center" vertical="center"/>
    </xf>
    <xf numFmtId="0" fontId="2" fillId="0" borderId="48" xfId="0" quotePrefix="1" applyFont="1" applyBorder="1"/>
    <xf numFmtId="0" fontId="2" fillId="0" borderId="40" xfId="0" quotePrefix="1" applyFont="1" applyBorder="1"/>
    <xf numFmtId="0" fontId="2" fillId="0" borderId="46" xfId="0" quotePrefix="1" applyFont="1" applyBorder="1"/>
    <xf numFmtId="0" fontId="2" fillId="0" borderId="4" xfId="0" quotePrefix="1" applyFont="1" applyBorder="1"/>
    <xf numFmtId="0" fontId="2" fillId="0" borderId="50" xfId="0" quotePrefix="1" applyFont="1" applyBorder="1"/>
    <xf numFmtId="0" fontId="2" fillId="0" borderId="74" xfId="0" quotePrefix="1" applyFont="1" applyBorder="1"/>
    <xf numFmtId="0" fontId="18" fillId="8" borderId="0" xfId="0" applyFont="1" applyFill="1" applyAlignment="1">
      <alignment horizontal="center" vertical="center"/>
    </xf>
    <xf numFmtId="0" fontId="10" fillId="9" borderId="0" xfId="18" applyFill="1" applyAlignment="1">
      <alignment horizontal="left" vertical="center"/>
    </xf>
    <xf numFmtId="0" fontId="11" fillId="9" borderId="43" xfId="0" applyFont="1" applyFill="1" applyBorder="1" applyAlignment="1">
      <alignment horizontal="center" vertical="center"/>
    </xf>
    <xf numFmtId="0" fontId="11" fillId="9" borderId="61" xfId="0" applyFont="1" applyFill="1" applyBorder="1" applyAlignment="1">
      <alignment horizontal="center" vertical="center"/>
    </xf>
    <xf numFmtId="0" fontId="18" fillId="0" borderId="0" xfId="0" applyFont="1" applyAlignment="1" applyProtection="1">
      <alignment horizontal="center"/>
      <protection locked="0"/>
    </xf>
    <xf numFmtId="0" fontId="10" fillId="9" borderId="0" xfId="18" applyFill="1" applyAlignment="1" applyProtection="1">
      <alignment horizontal="left" vertical="center"/>
    </xf>
    <xf numFmtId="167" fontId="2" fillId="0" borderId="82" xfId="0" applyNumberFormat="1" applyFont="1" applyBorder="1" applyAlignment="1">
      <alignment horizontal="center" wrapText="1"/>
    </xf>
    <xf numFmtId="167" fontId="2" fillId="0" borderId="7" xfId="0" applyNumberFormat="1" applyFont="1" applyBorder="1" applyAlignment="1">
      <alignment horizont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horizontal="center"/>
    </xf>
    <xf numFmtId="167" fontId="2" fillId="0" borderId="3" xfId="0" applyNumberFormat="1" applyFont="1" applyBorder="1" applyAlignment="1">
      <alignment horizontal="center"/>
    </xf>
    <xf numFmtId="0" fontId="11" fillId="9" borderId="77" xfId="0" applyFont="1" applyFill="1" applyBorder="1" applyAlignment="1">
      <alignment horizontal="center" vertical="center"/>
    </xf>
    <xf numFmtId="0" fontId="11" fillId="9" borderId="5" xfId="0" applyFont="1" applyFill="1" applyBorder="1" applyAlignment="1">
      <alignment horizontal="center" vertical="center"/>
    </xf>
    <xf numFmtId="0" fontId="40" fillId="0" borderId="0" xfId="0" applyFont="1" applyAlignment="1">
      <alignment horizontal="center" vertical="center"/>
    </xf>
  </cellXfs>
  <cellStyles count="20">
    <cellStyle name="Currency 2" xfId="17" xr:uid="{00000000-0005-0000-0000-000000000000}"/>
    <cellStyle name="Euro" xfId="5" xr:uid="{00000000-0005-0000-0000-000001000000}"/>
    <cellStyle name="Hyperlink 2" xfId="19" xr:uid="{00000000-0005-0000-0000-000003000000}"/>
    <cellStyle name="Komma 2" xfId="6" xr:uid="{00000000-0005-0000-0000-000004000000}"/>
    <cellStyle name="Komma 2 2" xfId="4" xr:uid="{00000000-0005-0000-0000-000005000000}"/>
    <cellStyle name="Link" xfId="18" builtinId="8" customBuiltin="1"/>
    <cellStyle name="Normal 2" xfId="16" xr:uid="{00000000-0005-0000-0000-000007000000}"/>
    <cellStyle name="Prozent" xfId="1" builtinId="5"/>
    <cellStyle name="Prozent 2" xfId="7" xr:uid="{00000000-0005-0000-0000-000009000000}"/>
    <cellStyle name="Prozent 2 2" xfId="3" xr:uid="{00000000-0005-0000-0000-00000A000000}"/>
    <cellStyle name="Prozent 3" xfId="8" xr:uid="{00000000-0005-0000-0000-00000B000000}"/>
    <cellStyle name="Prozent 4" xfId="9" xr:uid="{00000000-0005-0000-0000-00000C000000}"/>
    <cellStyle name="Standard" xfId="0" builtinId="0"/>
    <cellStyle name="Standard 2" xfId="10" xr:uid="{00000000-0005-0000-0000-00000D000000}"/>
    <cellStyle name="Standard 2 2" xfId="2" xr:uid="{00000000-0005-0000-0000-00000E000000}"/>
    <cellStyle name="Standard 3" xfId="11" xr:uid="{00000000-0005-0000-0000-00000F000000}"/>
    <cellStyle name="Standard 3 2" xfId="12" xr:uid="{00000000-0005-0000-0000-000010000000}"/>
    <cellStyle name="Standard 4" xfId="13" xr:uid="{00000000-0005-0000-0000-000011000000}"/>
    <cellStyle name="Währung 2" xfId="14" xr:uid="{00000000-0005-0000-0000-000012000000}"/>
    <cellStyle name="Währung 2 2" xfId="15" xr:uid="{00000000-0005-0000-0000-000013000000}"/>
  </cellStyles>
  <dxfs count="10">
    <dxf>
      <fill>
        <patternFill patternType="solid">
          <bgColor theme="0"/>
        </patternFill>
      </fill>
      <border>
        <left style="thin">
          <color theme="4"/>
        </left>
        <right style="thin">
          <color theme="4"/>
        </right>
        <top style="thin">
          <color theme="4"/>
        </top>
        <bottom style="thin">
          <color theme="4"/>
        </bottom>
      </border>
    </dxf>
    <dxf>
      <fill>
        <patternFill patternType="solid">
          <bgColor theme="0"/>
        </patternFill>
      </fill>
      <border>
        <left style="thin">
          <color theme="4"/>
        </left>
        <right style="thin">
          <color theme="4"/>
        </right>
        <top style="thin">
          <color theme="4"/>
        </top>
        <bottom style="thin">
          <color theme="4"/>
        </bottom>
      </border>
    </dxf>
    <dxf>
      <fill>
        <patternFill patternType="solid">
          <bgColor theme="0"/>
        </patternFill>
      </fill>
      <border>
        <left style="thin">
          <color theme="4"/>
        </left>
        <right style="thin">
          <color theme="4"/>
        </right>
        <top style="thin">
          <color theme="4"/>
        </top>
        <bottom style="thin">
          <color theme="4"/>
        </bottom>
      </border>
    </dxf>
    <dxf>
      <fill>
        <patternFill patternType="solid">
          <bgColor theme="0"/>
        </patternFill>
      </fill>
      <border>
        <left style="thin">
          <color theme="4"/>
        </left>
        <right style="thin">
          <color theme="4"/>
        </right>
        <top style="thin">
          <color theme="4"/>
        </top>
        <bottom style="thin">
          <color theme="4"/>
        </bottom>
      </border>
    </dxf>
    <dxf>
      <fill>
        <patternFill patternType="solid">
          <bgColor theme="0"/>
        </patternFill>
      </fill>
      <border>
        <left style="thin">
          <color theme="4"/>
        </left>
        <right style="thin">
          <color theme="4"/>
        </right>
        <top style="thin">
          <color theme="4"/>
        </top>
        <bottom style="thin">
          <color theme="4"/>
        </bottom>
      </border>
    </dxf>
    <dxf>
      <fill>
        <patternFill patternType="solid">
          <bgColor theme="0"/>
        </patternFill>
      </fill>
      <border>
        <left style="thin">
          <color theme="4"/>
        </left>
        <right style="thin">
          <color theme="4"/>
        </right>
        <top style="thin">
          <color theme="4"/>
        </top>
        <bottom style="thin">
          <color theme="4"/>
        </bottom>
      </border>
    </dxf>
    <dxf>
      <font>
        <color theme="3"/>
      </font>
      <fill>
        <patternFill>
          <bgColor theme="3"/>
        </patternFill>
      </fill>
    </dxf>
    <dxf>
      <fill>
        <patternFill>
          <bgColor rgb="FFFFFF00"/>
        </patternFill>
      </fill>
    </dxf>
    <dxf>
      <fill>
        <patternFill>
          <bgColor theme="7"/>
        </patternFill>
      </fill>
    </dxf>
    <dxf>
      <fill>
        <patternFill>
          <bgColor theme="4"/>
        </patternFill>
      </fill>
    </dxf>
  </dxfs>
  <tableStyles count="0" defaultTableStyle="TableStyleMedium2" defaultPivotStyle="PivotStyleMedium9"/>
  <colors>
    <mruColors>
      <color rgb="FFFBFFFD"/>
      <color rgb="FF009900"/>
      <color rgb="FFE5FFE5"/>
      <color rgb="FF006600"/>
      <color rgb="FFFFFFEF"/>
      <color rgb="FFA7FFA7"/>
      <color rgb="FFFEEFE2"/>
      <color rgb="FF00D200"/>
      <color rgb="FFDDFFDD"/>
      <color rgb="FFB7FFB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2.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3.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4.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5.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0D1F-4DB7-8E31-BDAB17185E5D}"/>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0D1F-4DB7-8E31-BDAB17185E5D}"/>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0D1F-4DB7-8E31-BDAB17185E5D}"/>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0D1F-4DB7-8E31-BDAB17185E5D}"/>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0D1F-4DB7-8E31-BDAB17185E5D}"/>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0D1F-4DB7-8E31-BDAB17185E5D}"/>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0B31-4707-8D56-4D831010E6E3}"/>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0B31-4707-8D56-4D831010E6E3}"/>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0B31-4707-8D56-4D831010E6E3}"/>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0B31-4707-8D56-4D831010E6E3}"/>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0B31-4707-8D56-4D831010E6E3}"/>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0B31-4707-8D56-4D831010E6E3}"/>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5-EDE4-4361-94CA-BC8EBB977F2A}"/>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4-EDE4-4361-94CA-BC8EBB977F2A}"/>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0-EDE4-4361-94CA-BC8EBB977F2A}"/>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1-EDE4-4361-94CA-BC8EBB977F2A}"/>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2-EDE4-4361-94CA-BC8EBB977F2A}"/>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3-EDE4-4361-94CA-BC8EBB977F2A}"/>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28D7-4E48-9A36-13D73C921D3B}"/>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28D7-4E48-9A36-13D73C921D3B}"/>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28D7-4E48-9A36-13D73C921D3B}"/>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28D7-4E48-9A36-13D73C921D3B}"/>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28D7-4E48-9A36-13D73C921D3B}"/>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28D7-4E48-9A36-13D73C921D3B}"/>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5E33-44FA-B9A4-A3541DD4D999}"/>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5E33-44FA-B9A4-A3541DD4D999}"/>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5E33-44FA-B9A4-A3541DD4D999}"/>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5E33-44FA-B9A4-A3541DD4D999}"/>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5E33-44FA-B9A4-A3541DD4D999}"/>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5E33-44FA-B9A4-A3541DD4D999}"/>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C322-4243-81D7-CCF932441F8A}"/>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C322-4243-81D7-CCF932441F8A}"/>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C322-4243-81D7-CCF932441F8A}"/>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C322-4243-81D7-CCF932441F8A}"/>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C322-4243-81D7-CCF932441F8A}"/>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C322-4243-81D7-CCF932441F8A}"/>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87EA-4BCF-8AE6-BE90BFCE85AB}"/>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87EA-4BCF-8AE6-BE90BFCE85AB}"/>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87EA-4BCF-8AE6-BE90BFCE85AB}"/>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87EA-4BCF-8AE6-BE90BFCE85AB}"/>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87EA-4BCF-8AE6-BE90BFCE85AB}"/>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87EA-4BCF-8AE6-BE90BFCE85AB}"/>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0D04-4827-BFA7-C5C1211C3A6B}"/>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0D04-4827-BFA7-C5C1211C3A6B}"/>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0D04-4827-BFA7-C5C1211C3A6B}"/>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0D04-4827-BFA7-C5C1211C3A6B}"/>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0D04-4827-BFA7-C5C1211C3A6B}"/>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0D04-4827-BFA7-C5C1211C3A6B}"/>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4935-4BE1-A18C-D567A3B56D34}"/>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4935-4BE1-A18C-D567A3B56D34}"/>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4935-4BE1-A18C-D567A3B56D34}"/>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4935-4BE1-A18C-D567A3B56D34}"/>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4935-4BE1-A18C-D567A3B56D34}"/>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4935-4BE1-A18C-D567A3B56D34}"/>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72DF-4BB5-84F2-31DF93C380F8}"/>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72DF-4BB5-84F2-31DF93C380F8}"/>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72DF-4BB5-84F2-31DF93C380F8}"/>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72DF-4BB5-84F2-31DF93C380F8}"/>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72DF-4BB5-84F2-31DF93C380F8}"/>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72DF-4BB5-84F2-31DF93C380F8}"/>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48D3-429F-BA4E-AEB8494EB323}"/>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48D3-429F-BA4E-AEB8494EB323}"/>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48D3-429F-BA4E-AEB8494EB323}"/>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48D3-429F-BA4E-AEB8494EB323}"/>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48D3-429F-BA4E-AEB8494EB323}"/>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48D3-429F-BA4E-AEB8494EB323}"/>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98DD-479E-80BB-E5DBB8568510}"/>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98DD-479E-80BB-E5DBB8568510}"/>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98DD-479E-80BB-E5DBB8568510}"/>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98DD-479E-80BB-E5DBB8568510}"/>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98DD-479E-80BB-E5DBB8568510}"/>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98DD-479E-80BB-E5DBB8568510}"/>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6A9F-4DFE-8ACD-9944F8CE5B62}"/>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6A9F-4DFE-8ACD-9944F8CE5B62}"/>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6A9F-4DFE-8ACD-9944F8CE5B62}"/>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6A9F-4DFE-8ACD-9944F8CE5B62}"/>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6A9F-4DFE-8ACD-9944F8CE5B62}"/>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6A9F-4DFE-8ACD-9944F8CE5B62}"/>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320C-416F-B951-5D9098406D67}"/>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320C-416F-B951-5D9098406D67}"/>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320C-416F-B951-5D9098406D67}"/>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320C-416F-B951-5D9098406D67}"/>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320C-416F-B951-5D9098406D67}"/>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320C-416F-B951-5D9098406D67}"/>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95EC-4ABC-A905-69319F305D26}"/>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95EC-4ABC-A905-69319F305D26}"/>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95EC-4ABC-A905-69319F305D26}"/>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95EC-4ABC-A905-69319F305D26}"/>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95EC-4ABC-A905-69319F305D26}"/>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95EC-4ABC-A905-69319F305D26}"/>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D8B9-47FA-856A-133AD423C05E}"/>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D8B9-47FA-856A-133AD423C05E}"/>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D8B9-47FA-856A-133AD423C05E}"/>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D8B9-47FA-856A-133AD423C05E}"/>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D8B9-47FA-856A-133AD423C05E}"/>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D8B9-47FA-856A-133AD423C05E}"/>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8595923223880154E-2"/>
          <c:y val="0.17892865664519203"/>
          <c:w val="0.59756589646284552"/>
          <c:h val="0.68029945120496305"/>
        </c:manualLayout>
      </c:layout>
      <c:barChart>
        <c:barDir val="bar"/>
        <c:grouping val="stacked"/>
        <c:varyColors val="0"/>
        <c:ser>
          <c:idx val="0"/>
          <c:order val="0"/>
          <c:tx>
            <c:v>Miete</c:v>
          </c:tx>
          <c:spPr>
            <a:solidFill>
              <a:schemeClr val="accent1"/>
            </a:solidFill>
            <a:ln>
              <a:noFill/>
            </a:ln>
            <a:effectLst/>
          </c:spPr>
          <c:invertIfNegative val="0"/>
          <c:dLbls>
            <c:dLbl>
              <c:idx val="0"/>
              <c:numFmt formatCode="#,##0\ &quot;€&quot;"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Unit"/>
                      <a:ea typeface="+mn-ea"/>
                      <a:cs typeface="+mn-cs"/>
                    </a:defRPr>
                  </a:pPr>
                  <a:endParaRPr lang="de-DE"/>
                </a:p>
              </c:txPr>
              <c:showLegendKey val="0"/>
              <c:showVal val="1"/>
              <c:showCatName val="0"/>
              <c:showSerName val="0"/>
              <c:showPercent val="0"/>
              <c:showBubbleSize val="0"/>
              <c:extLst>
                <c:ext xmlns:c16="http://schemas.microsoft.com/office/drawing/2014/chart" uri="{C3380CC4-5D6E-409C-BE32-E72D297353CC}">
                  <c16:uniqueId val="{00000000-CF97-4AD1-A8A6-90596A9B0EF0}"/>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2"/>
                    </a:solidFill>
                    <a:latin typeface="Uni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6350" cap="flat" cmpd="sng" algn="ctr">
                      <a:solidFill>
                        <a:schemeClr val="tx1"/>
                      </a:solidFill>
                      <a:prstDash val="solid"/>
                      <a:round/>
                    </a:ln>
                    <a:effectLst/>
                  </c:spPr>
                </c15:leaderLines>
              </c:ext>
            </c:extLst>
          </c:dLbls>
          <c:cat>
            <c:strRef>
              <c:f>Diagramme!$M$9:$N$9</c:f>
              <c:strCache>
                <c:ptCount val="2"/>
                <c:pt idx="0">
                  <c:v>Einnahmen</c:v>
                </c:pt>
                <c:pt idx="1">
                  <c:v>Ausgaben</c:v>
                </c:pt>
              </c:strCache>
            </c:strRef>
          </c:cat>
          <c:val>
            <c:numRef>
              <c:f>Diagramme!$M$11:$N$11</c:f>
              <c:numCache>
                <c:formatCode>General</c:formatCode>
                <c:ptCount val="2"/>
                <c:pt idx="0">
                  <c:v>0</c:v>
                </c:pt>
              </c:numCache>
            </c:numRef>
          </c:val>
          <c:extLst>
            <c:ext xmlns:c16="http://schemas.microsoft.com/office/drawing/2014/chart" uri="{C3380CC4-5D6E-409C-BE32-E72D297353CC}">
              <c16:uniqueId val="{00000001-CF97-4AD1-A8A6-90596A9B0EF0}"/>
            </c:ext>
          </c:extLst>
        </c:ser>
        <c:ser>
          <c:idx val="1"/>
          <c:order val="1"/>
          <c:tx>
            <c:v>Kosten</c:v>
          </c:tx>
          <c:spPr>
            <a:solidFill>
              <a:schemeClr val="tx2"/>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0</c:v>
                </c:pt>
              </c:numCache>
            </c:numRef>
          </c:val>
          <c:extLst>
            <c:ext xmlns:c16="http://schemas.microsoft.com/office/drawing/2014/chart" uri="{C3380CC4-5D6E-409C-BE32-E72D297353CC}">
              <c16:uniqueId val="{00000002-CF97-4AD1-A8A6-90596A9B0EF0}"/>
            </c:ext>
          </c:extLst>
        </c:ser>
        <c:ser>
          <c:idx val="5"/>
          <c:order val="2"/>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3-CF97-4AD1-A8A6-90596A9B0EF0}"/>
            </c:ext>
          </c:extLst>
        </c:ser>
        <c:ser>
          <c:idx val="4"/>
          <c:order val="3"/>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4-CF97-4AD1-A8A6-90596A9B0EF0}"/>
            </c:ext>
          </c:extLst>
        </c:ser>
        <c:ser>
          <c:idx val="3"/>
          <c:order val="4"/>
          <c:tx>
            <c:strRef>
              <c:f>Diagramme!$L$15</c:f>
              <c:strCache>
                <c:ptCount val="1"/>
                <c:pt idx="0">
                  <c:v>Tilgung</c:v>
                </c:pt>
              </c:strCache>
            </c:strRef>
          </c:tx>
          <c:spPr>
            <a:solidFill>
              <a:schemeClr val="bg1"/>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5-CF97-4AD1-A8A6-90596A9B0EF0}"/>
            </c:ext>
          </c:extLst>
        </c:ser>
        <c:dLbls>
          <c:showLegendKey val="0"/>
          <c:showVal val="0"/>
          <c:showCatName val="0"/>
          <c:showSerName val="0"/>
          <c:showPercent val="0"/>
          <c:showBubbleSize val="0"/>
        </c:dLbls>
        <c:gapWidth val="50"/>
        <c:overlap val="100"/>
        <c:axId val="190957440"/>
        <c:axId val="190958976"/>
      </c:barChart>
      <c:catAx>
        <c:axId val="190957440"/>
        <c:scaling>
          <c:orientation val="maxMin"/>
        </c:scaling>
        <c:delete val="0"/>
        <c:axPos val="l"/>
        <c:numFmt formatCode="General" sourceLinked="0"/>
        <c:majorTickMark val="none"/>
        <c:minorTickMark val="none"/>
        <c:tickLblPos val="none"/>
        <c:spPr>
          <a:noFill/>
          <a:ln w="6350" cap="sq" cmpd="sng" algn="ctr">
            <a:solidFill>
              <a:schemeClr val="bg1">
                <a:lumMod val="75000"/>
              </a:schemeClr>
            </a:solidFill>
            <a:prstDash val="solid"/>
            <a:bevel/>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8976"/>
        <c:crosses val="autoZero"/>
        <c:auto val="1"/>
        <c:lblAlgn val="ctr"/>
        <c:lblOffset val="200"/>
        <c:noMultiLvlLbl val="0"/>
      </c:catAx>
      <c:valAx>
        <c:axId val="190958976"/>
        <c:scaling>
          <c:orientation val="minMax"/>
        </c:scaling>
        <c:delete val="0"/>
        <c:axPos val="t"/>
        <c:majorGridlines>
          <c:spPr>
            <a:ln w="6350" cap="flat" cmpd="sng" algn="ctr">
              <a:noFill/>
              <a:prstDash val="solid"/>
              <a:round/>
            </a:ln>
            <a:effectLst/>
          </c:spPr>
        </c:majorGridlines>
        <c:numFmt formatCode="#,##0\ &quot;€&quot;" sourceLinked="0"/>
        <c:majorTickMark val="none"/>
        <c:minorTickMark val="none"/>
        <c:tickLblPos val="none"/>
        <c:spPr>
          <a:noFill/>
          <a:ln w="6350" cap="flat" cmpd="sng" algn="ctr">
            <a:noFill/>
            <a:prstDash val="solid"/>
            <a:round/>
          </a:ln>
          <a:effectLst/>
        </c:spPr>
        <c:txPr>
          <a:bodyPr rot="-6000000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crossAx val="190957440"/>
        <c:crosses val="autoZero"/>
        <c:crossBetween val="between"/>
      </c:valAx>
      <c:spPr>
        <a:noFill/>
        <a:ln w="25400">
          <a:noFill/>
        </a:ln>
        <a:effectLst/>
      </c:spPr>
    </c:plotArea>
    <c:legend>
      <c:legendPos val="r"/>
      <c:layout>
        <c:manualLayout>
          <c:xMode val="edge"/>
          <c:yMode val="edge"/>
          <c:x val="0.59015822786488081"/>
          <c:y val="0.22670245764733954"/>
          <c:w val="0.37280475473646985"/>
          <c:h val="0.5768969219756621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2"/>
              </a:solidFill>
              <a:latin typeface="Unit"/>
              <a:ea typeface="+mn-ea"/>
              <a:cs typeface="+mn-cs"/>
            </a:defRPr>
          </a:pPr>
          <a:endParaRPr lang="de-DE"/>
        </a:p>
      </c:txPr>
    </c:legend>
    <c:plotVisOnly val="1"/>
    <c:dispBlanksAs val="gap"/>
    <c:showDLblsOverMax val="0"/>
  </c:chart>
  <c:spPr>
    <a:solidFill>
      <a:schemeClr val="tx2">
        <a:lumMod val="10000"/>
        <a:lumOff val="90000"/>
      </a:schemeClr>
    </a:solidFill>
    <a:ln w="19050" cap="flat" cmpd="sng" algn="ctr">
      <a:noFill/>
      <a:prstDash val="solid"/>
      <a:round/>
    </a:ln>
    <a:effectLst/>
  </c:spPr>
  <c:txPr>
    <a:bodyPr/>
    <a:lstStyle/>
    <a:p>
      <a:pPr>
        <a:defRPr sz="1050">
          <a:solidFill>
            <a:schemeClr val="tx2"/>
          </a:solidFill>
          <a:latin typeface="Unit"/>
        </a:defRPr>
      </a:pPr>
      <a:endParaRPr lang="de-DE"/>
    </a:p>
  </c:txPr>
  <c:printSettings>
    <c:headerFooter/>
    <c:pageMargins b="0.78740157499999996" l="0.7" r="0.7" t="0.78740157499999996"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200" b="1" i="0" u="none" strike="noStrike" kern="1200" cap="all" baseline="0">
                <a:solidFill>
                  <a:schemeClr val="tx1">
                    <a:lumMod val="65000"/>
                    <a:lumOff val="35000"/>
                  </a:schemeClr>
                </a:solidFill>
                <a:latin typeface="+mn-lt"/>
                <a:ea typeface="+mn-ea"/>
                <a:cs typeface="+mn-cs"/>
              </a:defRPr>
            </a:pPr>
            <a:r>
              <a:rPr lang="de-DE" sz="1200" b="0" cap="none" baseline="0">
                <a:solidFill>
                  <a:sysClr val="windowText" lastClr="000000"/>
                </a:solidFill>
                <a:latin typeface="Century Gothic" panose="020B0502020202020204" pitchFamily="34" charset="0"/>
              </a:rPr>
              <a:t>Finanzierungsstruktur</a:t>
            </a:r>
          </a:p>
        </c:rich>
      </c:tx>
      <c:overlay val="1"/>
      <c:spPr>
        <a:noFill/>
        <a:ln>
          <a:noFill/>
        </a:ln>
        <a:effectLst/>
      </c:spPr>
      <c:txPr>
        <a:bodyPr rot="0" spcFirstLastPara="1" vertOverflow="ellipsis" vert="horz" wrap="square" anchor="ctr" anchorCtr="1"/>
        <a:lstStyle/>
        <a:p>
          <a:pPr>
            <a:defRPr sz="1200" b="1" i="0" u="none" strike="noStrike" kern="1200" cap="all" baseline="0">
              <a:solidFill>
                <a:schemeClr val="tx1">
                  <a:lumMod val="65000"/>
                  <a:lumOff val="35000"/>
                </a:schemeClr>
              </a:solidFill>
              <a:latin typeface="+mn-lt"/>
              <a:ea typeface="+mn-ea"/>
              <a:cs typeface="+mn-cs"/>
            </a:defRPr>
          </a:pPr>
          <a:endParaRPr lang="de-DE"/>
        </a:p>
      </c:txPr>
    </c:title>
    <c:autoTitleDeleted val="0"/>
    <c:view3D>
      <c:rotX val="50"/>
      <c:rotY val="15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3764458739078261"/>
          <c:y val="0.21896196074082289"/>
          <c:w val="0.73770335838645229"/>
          <c:h val="0.73539388562345198"/>
        </c:manualLayout>
      </c:layout>
      <c:pie3DChart>
        <c:varyColors val="1"/>
        <c:ser>
          <c:idx val="0"/>
          <c:order val="0"/>
          <c:explosion val="31"/>
          <c:dPt>
            <c:idx val="0"/>
            <c:bubble3D val="0"/>
            <c:explosion val="0"/>
            <c:spPr>
              <a:solidFill>
                <a:schemeClr val="accent1">
                  <a:alpha val="90000"/>
                </a:schemeClr>
              </a:solidFill>
              <a:ln w="19050">
                <a:solidFill>
                  <a:schemeClr val="accent1">
                    <a:lumMod val="75000"/>
                  </a:schemeClr>
                </a:solidFill>
              </a:ln>
              <a:effectLst>
                <a:innerShdw blurRad="114300">
                  <a:schemeClr val="accent3">
                    <a:shade val="65000"/>
                    <a:lumMod val="75000"/>
                  </a:schemeClr>
                </a:innerShdw>
              </a:effectLst>
              <a:scene3d>
                <a:camera prst="orthographicFront"/>
                <a:lightRig rig="threePt" dir="t"/>
              </a:scene3d>
              <a:sp3d contourW="19050" prstMaterial="flat">
                <a:contourClr>
                  <a:schemeClr val="accent1">
                    <a:lumMod val="75000"/>
                  </a:schemeClr>
                </a:contourClr>
              </a:sp3d>
            </c:spPr>
            <c:extLst>
              <c:ext xmlns:c16="http://schemas.microsoft.com/office/drawing/2014/chart" uri="{C3380CC4-5D6E-409C-BE32-E72D297353CC}">
                <c16:uniqueId val="{00000000-5412-4C63-B6ED-80DF3EE6EE8D}"/>
              </c:ext>
            </c:extLst>
          </c:dPt>
          <c:dPt>
            <c:idx val="1"/>
            <c:bubble3D val="0"/>
            <c:explosion val="16"/>
            <c:spPr>
              <a:solidFill>
                <a:schemeClr val="tx2">
                  <a:alpha val="90000"/>
                </a:schemeClr>
              </a:solidFill>
              <a:ln w="19050">
                <a:solidFill>
                  <a:schemeClr val="tx2">
                    <a:lumMod val="90000"/>
                    <a:lumOff val="10000"/>
                  </a:schemeClr>
                </a:solidFill>
              </a:ln>
              <a:effectLst>
                <a:innerShdw blurRad="114300">
                  <a:schemeClr val="accent3">
                    <a:lumMod val="75000"/>
                  </a:schemeClr>
                </a:innerShdw>
              </a:effectLst>
              <a:scene3d>
                <a:camera prst="orthographicFront"/>
                <a:lightRig rig="threePt" dir="t"/>
              </a:scene3d>
              <a:sp3d contourW="19050" prstMaterial="flat">
                <a:contourClr>
                  <a:schemeClr val="tx2">
                    <a:lumMod val="90000"/>
                    <a:lumOff val="10000"/>
                  </a:schemeClr>
                </a:contourClr>
              </a:sp3d>
            </c:spPr>
            <c:extLst>
              <c:ext xmlns:c16="http://schemas.microsoft.com/office/drawing/2014/chart" uri="{C3380CC4-5D6E-409C-BE32-E72D297353CC}">
                <c16:uniqueId val="{00000002-5412-4C63-B6ED-80DF3EE6EE8D}"/>
              </c:ext>
            </c:extLst>
          </c:dPt>
          <c:dPt>
            <c:idx val="2"/>
            <c:bubble3D val="0"/>
            <c:explosion val="13"/>
            <c:spPr>
              <a:solidFill>
                <a:schemeClr val="tx2">
                  <a:lumMod val="10000"/>
                  <a:lumOff val="90000"/>
                  <a:alpha val="90000"/>
                </a:schemeClr>
              </a:solidFill>
              <a:ln w="19050">
                <a:solidFill>
                  <a:schemeClr val="tx2">
                    <a:lumMod val="50000"/>
                    <a:lumOff val="50000"/>
                  </a:schemeClr>
                </a:solidFill>
              </a:ln>
              <a:effectLst>
                <a:innerShdw blurRad="114300">
                  <a:schemeClr val="accent3">
                    <a:tint val="65000"/>
                    <a:lumMod val="75000"/>
                  </a:schemeClr>
                </a:innerShdw>
              </a:effectLst>
              <a:scene3d>
                <a:camera prst="orthographicFront"/>
                <a:lightRig rig="threePt" dir="t"/>
              </a:scene3d>
              <a:sp3d contourW="19050" prstMaterial="flat">
                <a:contourClr>
                  <a:schemeClr val="tx2">
                    <a:lumMod val="50000"/>
                    <a:lumOff val="50000"/>
                  </a:schemeClr>
                </a:contourClr>
              </a:sp3d>
            </c:spPr>
            <c:extLst>
              <c:ext xmlns:c16="http://schemas.microsoft.com/office/drawing/2014/chart" uri="{C3380CC4-5D6E-409C-BE32-E72D297353CC}">
                <c16:uniqueId val="{00000004-5412-4C63-B6ED-80DF3EE6EE8D}"/>
              </c:ext>
            </c:extLst>
          </c:dPt>
          <c:dLbls>
            <c:dLbl>
              <c:idx val="0"/>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outEnd"/>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0-5412-4C63-B6ED-80DF3EE6EE8D}"/>
                </c:ext>
              </c:extLst>
            </c:dLbl>
            <c:dLbl>
              <c:idx val="1"/>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outEnd"/>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2-5412-4C63-B6ED-80DF3EE6EE8D}"/>
                </c:ext>
              </c:extLst>
            </c:dLbl>
            <c:dLbl>
              <c:idx val="2"/>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outEnd"/>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4-5412-4C63-B6ED-80DF3EE6EE8D}"/>
                </c:ext>
              </c:extLst>
            </c:dLbl>
            <c:spPr>
              <a:solidFill>
                <a:sysClr val="window" lastClr="FFFFFF">
                  <a:alpha val="90000"/>
                </a:sys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outEnd"/>
            <c:showLegendKey val="0"/>
            <c:showVal val="1"/>
            <c:showCatName val="1"/>
            <c:showSerName val="0"/>
            <c:showPercent val="0"/>
            <c:showBubbleSize val="0"/>
            <c:separator>, </c:separator>
            <c:showLeaderLines val="1"/>
            <c:leaderLines>
              <c:spPr>
                <a:ln w="9525">
                  <a:solidFill>
                    <a:schemeClr val="tx1">
                      <a:lumMod val="35000"/>
                      <a:lumOff val="65000"/>
                    </a:schemeClr>
                  </a:solidFill>
                </a:ln>
                <a:effectLst/>
              </c:spPr>
            </c:leaderLines>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Lst>
          </c:dLbls>
          <c:cat>
            <c:strRef>
              <c:f>Diagramme!$H$10:$H$12</c:f>
              <c:strCache>
                <c:ptCount val="3"/>
                <c:pt idx="0">
                  <c:v>Hauptdarlehen</c:v>
                </c:pt>
                <c:pt idx="1">
                  <c:v>Weitere Darlehen</c:v>
                </c:pt>
                <c:pt idx="2">
                  <c:v>Eigenkapital</c:v>
                </c:pt>
              </c:strCache>
            </c:strRef>
          </c:cat>
          <c:val>
            <c:numRef>
              <c:f>Diagramme!$I$10:$I$12</c:f>
              <c:numCache>
                <c:formatCode>#,##0\ "€"</c:formatCode>
                <c:ptCount val="3"/>
                <c:pt idx="0">
                  <c:v>#N/A</c:v>
                </c:pt>
                <c:pt idx="1">
                  <c:v>#N/A</c:v>
                </c:pt>
                <c:pt idx="2">
                  <c:v>0</c:v>
                </c:pt>
              </c:numCache>
            </c:numRef>
          </c:val>
          <c:extLst>
            <c:ext xmlns:c16="http://schemas.microsoft.com/office/drawing/2014/chart" uri="{C3380CC4-5D6E-409C-BE32-E72D297353CC}">
              <c16:uniqueId val="{00000005-5412-4C63-B6ED-80DF3EE6EE8D}"/>
            </c:ext>
          </c:extLst>
        </c:ser>
        <c:dLbls>
          <c:dLblPos val="inEnd"/>
          <c:showLegendKey val="0"/>
          <c:showVal val="1"/>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200" b="1" i="0" u="none" strike="noStrike" kern="1200" baseline="0">
                <a:solidFill>
                  <a:schemeClr val="tx1"/>
                </a:solidFill>
                <a:latin typeface="+mn-lt"/>
                <a:ea typeface="+mn-ea"/>
                <a:cs typeface="+mn-cs"/>
              </a:defRPr>
            </a:pPr>
            <a:r>
              <a:rPr lang="de-DE" sz="1200" b="0">
                <a:latin typeface="Century Gothic" panose="020B0502020202020204" pitchFamily="34" charset="0"/>
              </a:rPr>
              <a:t>Anfänglicher Cashflow vor Steuern</a:t>
            </a:r>
          </a:p>
        </c:rich>
      </c:tx>
      <c:overlay val="1"/>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mn-lt"/>
              <a:ea typeface="+mn-ea"/>
              <a:cs typeface="+mn-cs"/>
            </a:defRPr>
          </a:pPr>
          <a:endParaRPr lang="de-DE"/>
        </a:p>
      </c:txPr>
    </c:title>
    <c:autoTitleDeleted val="0"/>
    <c:plotArea>
      <c:layout>
        <c:manualLayout>
          <c:layoutTarget val="inner"/>
          <c:xMode val="edge"/>
          <c:yMode val="edge"/>
          <c:x val="0.11956328652834745"/>
          <c:y val="0.2287355928335045"/>
          <c:w val="0.86895849413933002"/>
          <c:h val="0.52424588230818969"/>
        </c:manualLayout>
      </c:layout>
      <c:barChart>
        <c:barDir val="col"/>
        <c:grouping val="stacked"/>
        <c:varyColors val="0"/>
        <c:ser>
          <c:idx val="1"/>
          <c:order val="0"/>
          <c:tx>
            <c:strRef>
              <c:f>Bankgespräch!$H$44</c:f>
              <c:strCache>
                <c:ptCount val="1"/>
                <c:pt idx="0">
                  <c:v>Bewirt.-Kosten (nicht umlagefähig)</c:v>
                </c:pt>
              </c:strCache>
            </c:strRef>
          </c:tx>
          <c:spPr>
            <a:solidFill>
              <a:schemeClr val="tx2"/>
            </a:solidFill>
            <a:ln>
              <a:noFill/>
            </a:ln>
            <a:effectLst/>
          </c:spPr>
          <c:invertIfNegative val="0"/>
          <c:cat>
            <c:strRef>
              <c:f>Diagramme!$M$9:$N$9</c:f>
              <c:strCache>
                <c:ptCount val="2"/>
                <c:pt idx="0">
                  <c:v>Einnahmen</c:v>
                </c:pt>
                <c:pt idx="1">
                  <c:v>Ausgaben</c:v>
                </c:pt>
              </c:strCache>
            </c:strRef>
          </c:cat>
          <c:val>
            <c:numRef>
              <c:f>Bankgespräch!$I$44:$J$44</c:f>
              <c:numCache>
                <c:formatCode>#,##0\ "€"</c:formatCode>
                <c:ptCount val="2"/>
                <c:pt idx="1">
                  <c:v>0</c:v>
                </c:pt>
              </c:numCache>
            </c:numRef>
          </c:val>
          <c:extLst>
            <c:ext xmlns:c16="http://schemas.microsoft.com/office/drawing/2014/chart" uri="{C3380CC4-5D6E-409C-BE32-E72D297353CC}">
              <c16:uniqueId val="{00000002-0FE9-4996-A977-89815EAD4C35}"/>
            </c:ext>
          </c:extLst>
        </c:ser>
        <c:ser>
          <c:idx val="7"/>
          <c:order val="1"/>
          <c:tx>
            <c:strRef>
              <c:f>Bankgespräch!$H$46</c:f>
              <c:strCache>
                <c:ptCount val="1"/>
                <c:pt idx="0">
                  <c:v>Tilgung</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Bankgespräch!$I$46:$J$46</c:f>
              <c:numCache>
                <c:formatCode>#,##0\ "€"</c:formatCode>
                <c:ptCount val="2"/>
                <c:pt idx="1">
                  <c:v>0</c:v>
                </c:pt>
              </c:numCache>
            </c:numRef>
          </c:val>
          <c:extLst>
            <c:ext xmlns:c16="http://schemas.microsoft.com/office/drawing/2014/chart" uri="{C3380CC4-5D6E-409C-BE32-E72D297353CC}">
              <c16:uniqueId val="{00000000-0FE9-4996-A977-89815EAD4C35}"/>
            </c:ext>
          </c:extLst>
        </c:ser>
        <c:ser>
          <c:idx val="6"/>
          <c:order val="2"/>
          <c:tx>
            <c:strRef>
              <c:f>Bankgespräch!$H$45</c:f>
              <c:strCache>
                <c:ptCount val="1"/>
                <c:pt idx="0">
                  <c:v>Zinsen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Bankgespräch!$I$45:$J$45</c:f>
              <c:numCache>
                <c:formatCode>#,##0\ "€"</c:formatCode>
                <c:ptCount val="2"/>
                <c:pt idx="1">
                  <c:v>0</c:v>
                </c:pt>
              </c:numCache>
            </c:numRef>
          </c:val>
          <c:extLst>
            <c:ext xmlns:c16="http://schemas.microsoft.com/office/drawing/2014/chart" uri="{C3380CC4-5D6E-409C-BE32-E72D297353CC}">
              <c16:uniqueId val="{00000001-0FE9-4996-A977-89815EAD4C35}"/>
            </c:ext>
          </c:extLst>
        </c:ser>
        <c:ser>
          <c:idx val="0"/>
          <c:order val="3"/>
          <c:tx>
            <c:strRef>
              <c:f>Bankgespräch!$H$43</c:f>
              <c:strCache>
                <c:ptCount val="1"/>
                <c:pt idx="0">
                  <c:v>Nettokaltmiete</c:v>
                </c:pt>
              </c:strCache>
            </c:strRef>
          </c:tx>
          <c:spPr>
            <a:solidFill>
              <a:schemeClr val="accent1"/>
            </a:solidFill>
            <a:ln>
              <a:noFill/>
            </a:ln>
            <a:effectLst/>
          </c:spPr>
          <c:invertIfNegative val="0"/>
          <c:cat>
            <c:strRef>
              <c:f>Diagramme!$M$9:$N$9</c:f>
              <c:strCache>
                <c:ptCount val="2"/>
                <c:pt idx="0">
                  <c:v>Einnahmen</c:v>
                </c:pt>
                <c:pt idx="1">
                  <c:v>Ausgaben</c:v>
                </c:pt>
              </c:strCache>
            </c:strRef>
          </c:cat>
          <c:val>
            <c:numRef>
              <c:f>Bankgespräch!$I$43:$J$43</c:f>
              <c:numCache>
                <c:formatCode>#,##0\ "€"</c:formatCode>
                <c:ptCount val="2"/>
                <c:pt idx="0">
                  <c:v>0</c:v>
                </c:pt>
              </c:numCache>
            </c:numRef>
          </c:val>
          <c:extLst>
            <c:ext xmlns:c16="http://schemas.microsoft.com/office/drawing/2014/chart" uri="{C3380CC4-5D6E-409C-BE32-E72D297353CC}">
              <c16:uniqueId val="{00000003-0FE9-4996-A977-89815EAD4C35}"/>
            </c:ext>
          </c:extLst>
        </c:ser>
        <c:dLbls>
          <c:showLegendKey val="0"/>
          <c:showVal val="0"/>
          <c:showCatName val="0"/>
          <c:showSerName val="0"/>
          <c:showPercent val="0"/>
          <c:showBubbleSize val="0"/>
        </c:dLbls>
        <c:gapWidth val="150"/>
        <c:overlap val="100"/>
        <c:axId val="189526016"/>
        <c:axId val="189527552"/>
      </c:barChart>
      <c:catAx>
        <c:axId val="189526016"/>
        <c:scaling>
          <c:orientation val="minMax"/>
        </c:scaling>
        <c:delete val="0"/>
        <c:axPos val="b"/>
        <c:numFmt formatCode="General" sourceLinked="0"/>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89527552"/>
        <c:crosses val="autoZero"/>
        <c:auto val="1"/>
        <c:lblAlgn val="ctr"/>
        <c:lblOffset val="100"/>
        <c:noMultiLvlLbl val="0"/>
      </c:catAx>
      <c:valAx>
        <c:axId val="189527552"/>
        <c:scaling>
          <c:orientation val="minMax"/>
        </c:scaling>
        <c:delete val="0"/>
        <c:axPos val="l"/>
        <c:majorGridlines>
          <c:spPr>
            <a:ln w="6350" cap="flat" cmpd="sng" algn="ctr">
              <a:solidFill>
                <a:schemeClr val="bg1">
                  <a:lumMod val="50000"/>
                </a:schemeClr>
              </a:solidFill>
              <a:prstDash val="solid"/>
              <a:round/>
            </a:ln>
            <a:effectLst/>
          </c:spPr>
        </c:majorGridlines>
        <c:numFmt formatCode="#,##0\ &quot;€&quot;" sourceLinked="0"/>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89526016"/>
        <c:crosses val="autoZero"/>
        <c:crossBetween val="between"/>
      </c:valAx>
      <c:spPr>
        <a:solidFill>
          <a:schemeClr val="bg1"/>
        </a:solidFill>
        <a:ln>
          <a:solidFill>
            <a:schemeClr val="bg1">
              <a:lumMod val="50000"/>
            </a:schemeClr>
          </a:solidFill>
        </a:ln>
        <a:effectLst/>
      </c:spPr>
    </c:plotArea>
    <c:legend>
      <c:legendPos val="r"/>
      <c:layout>
        <c:manualLayout>
          <c:xMode val="edge"/>
          <c:yMode val="edge"/>
          <c:x val="5.6067978759932521E-3"/>
          <c:y val="0.87407775115067143"/>
          <c:w val="0.9917212639962586"/>
          <c:h val="0.1254353531895469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legend>
    <c:plotVisOnly val="1"/>
    <c:dispBlanksAs val="gap"/>
    <c:showDLblsOverMax val="0"/>
  </c:chart>
  <c:spPr>
    <a:solidFill>
      <a:schemeClr val="bg1"/>
    </a:solidFill>
    <a:ln w="6350" cap="flat" cmpd="sng" algn="ctr">
      <a:noFill/>
      <a:prstDash val="solid"/>
      <a:round/>
    </a:ln>
    <a:effectLst/>
  </c:spPr>
  <c:txPr>
    <a:bodyPr/>
    <a:lstStyle/>
    <a:p>
      <a:pPr>
        <a:defRPr/>
      </a:pPr>
      <a:endParaRPr lang="de-DE"/>
    </a:p>
  </c:txPr>
  <c:printSettings>
    <c:headerFooter/>
    <c:pageMargins b="0.78740157499999996" l="0.7" r="0.7" t="0.78740157499999996"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r>
              <a:rPr lang="de-DE" sz="1600" b="0" i="0" u="none" strike="noStrike" kern="1200" baseline="0">
                <a:solidFill>
                  <a:sysClr val="windowText" lastClr="000000"/>
                </a:solidFill>
                <a:latin typeface="Century Gothic" panose="020B0502020202020204" pitchFamily="34" charset="0"/>
                <a:ea typeface="+mn-ea"/>
                <a:cs typeface="+mn-cs"/>
              </a:rPr>
              <a:t>Entwicklung der Darlehens-Restschuld</a:t>
            </a:r>
          </a:p>
        </c:rich>
      </c:tx>
      <c:layout>
        <c:manualLayout>
          <c:xMode val="edge"/>
          <c:yMode val="edge"/>
          <c:x val="0.35361452996171122"/>
          <c:y val="3.2128514056224897E-2"/>
        </c:manualLayout>
      </c:layout>
      <c:overlay val="0"/>
      <c:spPr>
        <a:noFill/>
        <a:ln>
          <a:noFill/>
        </a:ln>
        <a:effectLst/>
      </c:spPr>
      <c:txPr>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endParaRPr lang="de-DE"/>
        </a:p>
      </c:txPr>
    </c:title>
    <c:autoTitleDeleted val="0"/>
    <c:plotArea>
      <c:layout>
        <c:manualLayout>
          <c:layoutTarget val="inner"/>
          <c:xMode val="edge"/>
          <c:yMode val="edge"/>
          <c:x val="4.3842683727034121E-2"/>
          <c:y val="0.19704567541302234"/>
          <c:w val="0.94510898784113617"/>
          <c:h val="0.65267096714951445"/>
        </c:manualLayout>
      </c:layout>
      <c:barChart>
        <c:barDir val="col"/>
        <c:grouping val="stacked"/>
        <c:varyColors val="0"/>
        <c:ser>
          <c:idx val="1"/>
          <c:order val="0"/>
          <c:tx>
            <c:v>Restschuld Haupt-Darlehen (€) - Jahresanfang</c:v>
          </c:tx>
          <c:spPr>
            <a:solidFill>
              <a:schemeClr val="tx2"/>
            </a:solidFill>
            <a:ln w="6350" cap="flat" cmpd="sng" algn="ctr">
              <a:solidFill>
                <a:schemeClr val="tx2"/>
              </a:solidFill>
              <a:prstDash val="solid"/>
              <a:round/>
            </a:ln>
            <a:effectLst/>
          </c:spPr>
          <c:invertIfNegative val="0"/>
          <c:cat>
            <c:numRef>
              <c:f>'Kennzahlen im Verlauf'!$D$28:$BA$28</c:f>
              <c:numCache>
                <c:formatCode>0</c:formatCode>
                <c:ptCount val="50"/>
                <c:pt idx="0" formatCode="General">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pt idx="25">
                  <c:v>2049</c:v>
                </c:pt>
                <c:pt idx="26">
                  <c:v>2050</c:v>
                </c:pt>
                <c:pt idx="27">
                  <c:v>2051</c:v>
                </c:pt>
                <c:pt idx="28">
                  <c:v>2052</c:v>
                </c:pt>
                <c:pt idx="29">
                  <c:v>2053</c:v>
                </c:pt>
                <c:pt idx="30">
                  <c:v>2054</c:v>
                </c:pt>
                <c:pt idx="31">
                  <c:v>2055</c:v>
                </c:pt>
                <c:pt idx="32">
                  <c:v>2056</c:v>
                </c:pt>
                <c:pt idx="33">
                  <c:v>2057</c:v>
                </c:pt>
                <c:pt idx="34">
                  <c:v>2058</c:v>
                </c:pt>
                <c:pt idx="35">
                  <c:v>2059</c:v>
                </c:pt>
                <c:pt idx="36">
                  <c:v>2060</c:v>
                </c:pt>
                <c:pt idx="37">
                  <c:v>2061</c:v>
                </c:pt>
                <c:pt idx="38">
                  <c:v>2062</c:v>
                </c:pt>
                <c:pt idx="39">
                  <c:v>2063</c:v>
                </c:pt>
                <c:pt idx="40">
                  <c:v>2064</c:v>
                </c:pt>
                <c:pt idx="41">
                  <c:v>2065</c:v>
                </c:pt>
                <c:pt idx="42">
                  <c:v>2066</c:v>
                </c:pt>
                <c:pt idx="43">
                  <c:v>2067</c:v>
                </c:pt>
                <c:pt idx="44">
                  <c:v>2068</c:v>
                </c:pt>
                <c:pt idx="45">
                  <c:v>2069</c:v>
                </c:pt>
                <c:pt idx="46">
                  <c:v>2070</c:v>
                </c:pt>
                <c:pt idx="47">
                  <c:v>2071</c:v>
                </c:pt>
                <c:pt idx="48">
                  <c:v>2072</c:v>
                </c:pt>
                <c:pt idx="49">
                  <c:v>2073</c:v>
                </c:pt>
              </c:numCache>
            </c:numRef>
          </c:cat>
          <c:val>
            <c:numRef>
              <c:f>'Kennzahlen im Verlauf'!$D$32:$BA$32</c:f>
              <c:numCache>
                <c:formatCode>#,##0</c:formatCode>
                <c:ptCount val="5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numCache>
            </c:numRef>
          </c:val>
          <c:extLst>
            <c:ext xmlns:c16="http://schemas.microsoft.com/office/drawing/2014/chart" uri="{C3380CC4-5D6E-409C-BE32-E72D297353CC}">
              <c16:uniqueId val="{00000000-25EB-4359-82D9-C871A6ADAD35}"/>
            </c:ext>
          </c:extLst>
        </c:ser>
        <c:ser>
          <c:idx val="2"/>
          <c:order val="1"/>
          <c:tx>
            <c:v>Restschuld weitere Darlehen (€) - Jahresanfang</c:v>
          </c:tx>
          <c:spPr>
            <a:solidFill>
              <a:schemeClr val="tx2">
                <a:lumMod val="10000"/>
                <a:lumOff val="90000"/>
              </a:schemeClr>
            </a:solidFill>
            <a:ln w="6350" cap="flat" cmpd="sng" algn="ctr">
              <a:solidFill>
                <a:schemeClr val="tx2">
                  <a:lumMod val="50000"/>
                  <a:lumOff val="50000"/>
                </a:schemeClr>
              </a:solidFill>
              <a:prstDash val="solid"/>
              <a:round/>
            </a:ln>
            <a:effectLst/>
          </c:spPr>
          <c:invertIfNegative val="0"/>
          <c:cat>
            <c:numRef>
              <c:f>'Kennzahlen im Verlauf'!$D$28:$BA$28</c:f>
              <c:numCache>
                <c:formatCode>0</c:formatCode>
                <c:ptCount val="50"/>
                <c:pt idx="0" formatCode="General">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pt idx="25">
                  <c:v>2049</c:v>
                </c:pt>
                <c:pt idx="26">
                  <c:v>2050</c:v>
                </c:pt>
                <c:pt idx="27">
                  <c:v>2051</c:v>
                </c:pt>
                <c:pt idx="28">
                  <c:v>2052</c:v>
                </c:pt>
                <c:pt idx="29">
                  <c:v>2053</c:v>
                </c:pt>
                <c:pt idx="30">
                  <c:v>2054</c:v>
                </c:pt>
                <c:pt idx="31">
                  <c:v>2055</c:v>
                </c:pt>
                <c:pt idx="32">
                  <c:v>2056</c:v>
                </c:pt>
                <c:pt idx="33">
                  <c:v>2057</c:v>
                </c:pt>
                <c:pt idx="34">
                  <c:v>2058</c:v>
                </c:pt>
                <c:pt idx="35">
                  <c:v>2059</c:v>
                </c:pt>
                <c:pt idx="36">
                  <c:v>2060</c:v>
                </c:pt>
                <c:pt idx="37">
                  <c:v>2061</c:v>
                </c:pt>
                <c:pt idx="38">
                  <c:v>2062</c:v>
                </c:pt>
                <c:pt idx="39">
                  <c:v>2063</c:v>
                </c:pt>
                <c:pt idx="40">
                  <c:v>2064</c:v>
                </c:pt>
                <c:pt idx="41">
                  <c:v>2065</c:v>
                </c:pt>
                <c:pt idx="42">
                  <c:v>2066</c:v>
                </c:pt>
                <c:pt idx="43">
                  <c:v>2067</c:v>
                </c:pt>
                <c:pt idx="44">
                  <c:v>2068</c:v>
                </c:pt>
                <c:pt idx="45">
                  <c:v>2069</c:v>
                </c:pt>
                <c:pt idx="46">
                  <c:v>2070</c:v>
                </c:pt>
                <c:pt idx="47">
                  <c:v>2071</c:v>
                </c:pt>
                <c:pt idx="48">
                  <c:v>2072</c:v>
                </c:pt>
                <c:pt idx="49">
                  <c:v>2073</c:v>
                </c:pt>
              </c:numCache>
            </c:numRef>
          </c:cat>
          <c:val>
            <c:numRef>
              <c:f>'Kennzahlen im Verlauf'!$D$65:$BA$65</c:f>
              <c:numCache>
                <c:formatCode>#,##0</c:formatCode>
                <c:ptCount val="5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numCache>
            </c:numRef>
          </c:val>
          <c:extLst>
            <c:ext xmlns:c16="http://schemas.microsoft.com/office/drawing/2014/chart" uri="{C3380CC4-5D6E-409C-BE32-E72D297353CC}">
              <c16:uniqueId val="{00000001-25EB-4359-82D9-C871A6ADAD35}"/>
            </c:ext>
          </c:extLst>
        </c:ser>
        <c:dLbls>
          <c:showLegendKey val="0"/>
          <c:showVal val="0"/>
          <c:showCatName val="0"/>
          <c:showSerName val="0"/>
          <c:showPercent val="0"/>
          <c:showBubbleSize val="0"/>
        </c:dLbls>
        <c:gapWidth val="75"/>
        <c:overlap val="100"/>
        <c:axId val="190140416"/>
        <c:axId val="190141952"/>
      </c:barChart>
      <c:catAx>
        <c:axId val="190140416"/>
        <c:scaling>
          <c:orientation val="minMax"/>
        </c:scaling>
        <c:delete val="0"/>
        <c:axPos val="b"/>
        <c:numFmt formatCode="General" sourceLinked="1"/>
        <c:majorTickMark val="none"/>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141952"/>
        <c:crosses val="autoZero"/>
        <c:auto val="1"/>
        <c:lblAlgn val="ctr"/>
        <c:lblOffset val="100"/>
        <c:noMultiLvlLbl val="0"/>
      </c:catAx>
      <c:valAx>
        <c:axId val="190141952"/>
        <c:scaling>
          <c:orientation val="minMax"/>
        </c:scaling>
        <c:delete val="0"/>
        <c:axPos val="l"/>
        <c:majorGridlines>
          <c:spPr>
            <a:ln w="6350" cap="flat" cmpd="sng" algn="ctr">
              <a:solidFill>
                <a:schemeClr val="bg1">
                  <a:lumMod val="50000"/>
                </a:schemeClr>
              </a:solidFill>
              <a:prstDash val="solid"/>
              <a:round/>
            </a:ln>
            <a:effectLst/>
          </c:spPr>
        </c:majorGridlines>
        <c:numFmt formatCode="#,##0" sourceLinked="1"/>
        <c:majorTickMark val="none"/>
        <c:minorTickMark val="none"/>
        <c:tickLblPos val="nextTo"/>
        <c:spPr>
          <a:noFill/>
          <a:ln w="6350" cap="flat" cmpd="sng" algn="ctr">
            <a:solidFill>
              <a:schemeClr val="bg1">
                <a:lumMod val="50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140416"/>
        <c:crosses val="autoZero"/>
        <c:crossBetween val="between"/>
      </c:valAx>
      <c:spPr>
        <a:solidFill>
          <a:schemeClr val="bg1"/>
        </a:solidFill>
        <a:ln>
          <a:solidFill>
            <a:schemeClr val="bg1">
              <a:lumMod val="50000"/>
            </a:schemeClr>
          </a:solidFill>
        </a:ln>
        <a:effectLst/>
      </c:spPr>
    </c:plotArea>
    <c:legend>
      <c:legendPos val="b"/>
      <c:layout>
        <c:manualLayout>
          <c:xMode val="edge"/>
          <c:yMode val="edge"/>
          <c:x val="0.77429772672268715"/>
          <c:y val="5.1720670466063864E-2"/>
          <c:w val="0.21361467414857632"/>
          <c:h val="0.13940910447418561"/>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legend>
    <c:plotVisOnly val="1"/>
    <c:dispBlanksAs val="gap"/>
    <c:showDLblsOverMax val="0"/>
  </c:chart>
  <c:spPr>
    <a:solidFill>
      <a:schemeClr val="bg1"/>
    </a:solidFill>
    <a:ln w="19050" cap="flat" cmpd="sng" algn="ctr">
      <a:solidFill>
        <a:schemeClr val="tx2"/>
      </a:solidFill>
      <a:prstDash val="solid"/>
      <a:round/>
    </a:ln>
    <a:effectLst/>
  </c:spPr>
  <c:txPr>
    <a:bodyPr/>
    <a:lstStyle/>
    <a:p>
      <a:pPr>
        <a:defRPr/>
      </a:pPr>
      <a:endParaRPr lang="de-DE"/>
    </a:p>
  </c:txPr>
  <c:printSettings>
    <c:headerFooter/>
    <c:pageMargins b="0.78740157499999996" l="0.7" r="0.7" t="0.78740157499999996"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13"/>
    </mc:Choice>
    <mc:Fallback>
      <c:style val="13"/>
    </mc:Fallback>
  </mc:AlternateContent>
  <c:chart>
    <c:title>
      <c:tx>
        <c:rich>
          <a:bodyPr/>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r>
              <a:rPr lang="de-DE" sz="1600" b="0" i="0" u="none" strike="noStrike" kern="1200" baseline="0">
                <a:solidFill>
                  <a:sysClr val="windowText" lastClr="000000"/>
                </a:solidFill>
                <a:latin typeface="Century Gothic" panose="020B0502020202020204" pitchFamily="34" charset="0"/>
                <a:ea typeface="+mn-ea"/>
                <a:cs typeface="+mn-cs"/>
              </a:rPr>
              <a:t>Kumulierter Zinsaufwand</a:t>
            </a:r>
          </a:p>
        </c:rich>
      </c:tx>
      <c:overlay val="0"/>
    </c:title>
    <c:autoTitleDeleted val="0"/>
    <c:plotArea>
      <c:layout>
        <c:manualLayout>
          <c:layoutTarget val="inner"/>
          <c:xMode val="edge"/>
          <c:yMode val="edge"/>
          <c:x val="4.5398716736071015E-2"/>
          <c:y val="0.20869240303295422"/>
          <c:w val="0.9431608256456242"/>
          <c:h val="0.61584536307961513"/>
        </c:manualLayout>
      </c:layout>
      <c:barChart>
        <c:barDir val="col"/>
        <c:grouping val="clustered"/>
        <c:varyColors val="0"/>
        <c:ser>
          <c:idx val="1"/>
          <c:order val="0"/>
          <c:tx>
            <c:v>Kumulierter Zinsaufwand (€)</c:v>
          </c:tx>
          <c:spPr>
            <a:solidFill>
              <a:schemeClr val="tx2"/>
            </a:solidFill>
          </c:spPr>
          <c:invertIfNegative val="0"/>
          <c:cat>
            <c:numRef>
              <c:f>'Kennzahlen im Verlauf'!$D$62:$BA$62</c:f>
              <c:numCache>
                <c:formatCode>0</c:formatCode>
                <c:ptCount val="50"/>
                <c:pt idx="0" formatCode="General">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pt idx="25">
                  <c:v>2049</c:v>
                </c:pt>
                <c:pt idx="26">
                  <c:v>2050</c:v>
                </c:pt>
                <c:pt idx="27">
                  <c:v>2051</c:v>
                </c:pt>
                <c:pt idx="28">
                  <c:v>2052</c:v>
                </c:pt>
                <c:pt idx="29">
                  <c:v>2053</c:v>
                </c:pt>
                <c:pt idx="30">
                  <c:v>2054</c:v>
                </c:pt>
                <c:pt idx="31">
                  <c:v>2055</c:v>
                </c:pt>
                <c:pt idx="32">
                  <c:v>2056</c:v>
                </c:pt>
                <c:pt idx="33">
                  <c:v>2057</c:v>
                </c:pt>
                <c:pt idx="34">
                  <c:v>2058</c:v>
                </c:pt>
                <c:pt idx="35">
                  <c:v>2059</c:v>
                </c:pt>
                <c:pt idx="36">
                  <c:v>2060</c:v>
                </c:pt>
                <c:pt idx="37">
                  <c:v>2061</c:v>
                </c:pt>
                <c:pt idx="38">
                  <c:v>2062</c:v>
                </c:pt>
                <c:pt idx="39">
                  <c:v>2063</c:v>
                </c:pt>
                <c:pt idx="40">
                  <c:v>2064</c:v>
                </c:pt>
                <c:pt idx="41">
                  <c:v>2065</c:v>
                </c:pt>
                <c:pt idx="42">
                  <c:v>2066</c:v>
                </c:pt>
                <c:pt idx="43">
                  <c:v>2067</c:v>
                </c:pt>
                <c:pt idx="44">
                  <c:v>2068</c:v>
                </c:pt>
                <c:pt idx="45">
                  <c:v>2069</c:v>
                </c:pt>
                <c:pt idx="46">
                  <c:v>2070</c:v>
                </c:pt>
                <c:pt idx="47">
                  <c:v>2071</c:v>
                </c:pt>
                <c:pt idx="48">
                  <c:v>2072</c:v>
                </c:pt>
                <c:pt idx="49">
                  <c:v>2073</c:v>
                </c:pt>
              </c:numCache>
            </c:numRef>
          </c:cat>
          <c:val>
            <c:numRef>
              <c:f>'Kennzahlen im Verlauf'!$D$68:$BA$68</c:f>
              <c:numCache>
                <c:formatCode>#,##0</c:formatCode>
                <c:ptCount val="5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numCache>
            </c:numRef>
          </c:val>
          <c:extLst>
            <c:ext xmlns:c16="http://schemas.microsoft.com/office/drawing/2014/chart" uri="{C3380CC4-5D6E-409C-BE32-E72D297353CC}">
              <c16:uniqueId val="{00000000-E937-46ED-B61E-165221CD83E2}"/>
            </c:ext>
          </c:extLst>
        </c:ser>
        <c:dLbls>
          <c:showLegendKey val="0"/>
          <c:showVal val="0"/>
          <c:showCatName val="0"/>
          <c:showSerName val="0"/>
          <c:showPercent val="0"/>
          <c:showBubbleSize val="0"/>
        </c:dLbls>
        <c:gapWidth val="75"/>
        <c:overlap val="-25"/>
        <c:axId val="190166912"/>
        <c:axId val="190168448"/>
      </c:barChart>
      <c:catAx>
        <c:axId val="190166912"/>
        <c:scaling>
          <c:orientation val="minMax"/>
        </c:scaling>
        <c:delete val="0"/>
        <c:axPos val="b"/>
        <c:numFmt formatCode="General" sourceLinked="1"/>
        <c:majorTickMark val="none"/>
        <c:minorTickMark val="none"/>
        <c:tickLblPos val="nextTo"/>
        <c:crossAx val="190168448"/>
        <c:crosses val="autoZero"/>
        <c:auto val="1"/>
        <c:lblAlgn val="ctr"/>
        <c:lblOffset val="100"/>
        <c:noMultiLvlLbl val="0"/>
      </c:catAx>
      <c:valAx>
        <c:axId val="190168448"/>
        <c:scaling>
          <c:orientation val="minMax"/>
        </c:scaling>
        <c:delete val="0"/>
        <c:axPos val="l"/>
        <c:majorGridlines>
          <c:spPr>
            <a:ln>
              <a:solidFill>
                <a:schemeClr val="bg1">
                  <a:lumMod val="50000"/>
                </a:schemeClr>
              </a:solidFill>
            </a:ln>
          </c:spPr>
        </c:majorGridlines>
        <c:numFmt formatCode="#,##0" sourceLinked="1"/>
        <c:majorTickMark val="none"/>
        <c:minorTickMark val="none"/>
        <c:tickLblPos val="nextTo"/>
        <c:spPr>
          <a:ln>
            <a:solidFill>
              <a:schemeClr val="bg1">
                <a:lumMod val="50000"/>
              </a:schemeClr>
            </a:solidFill>
          </a:ln>
        </c:spPr>
        <c:crossAx val="190166912"/>
        <c:crosses val="autoZero"/>
        <c:crossBetween val="between"/>
      </c:valAx>
      <c:spPr>
        <a:ln>
          <a:solidFill>
            <a:schemeClr val="bg1">
              <a:lumMod val="50000"/>
            </a:schemeClr>
          </a:solidFill>
        </a:ln>
      </c:spPr>
    </c:plotArea>
    <c:legend>
      <c:legendPos val="b"/>
      <c:layout>
        <c:manualLayout>
          <c:xMode val="edge"/>
          <c:yMode val="edge"/>
          <c:x val="0.82332010760745389"/>
          <c:y val="6.9060586176727903E-2"/>
          <c:w val="0.15835198447307972"/>
          <c:h val="8.3717191601049873E-2"/>
        </c:manualLayout>
      </c:layout>
      <c:overlay val="0"/>
    </c:legend>
    <c:plotVisOnly val="1"/>
    <c:dispBlanksAs val="gap"/>
    <c:showDLblsOverMax val="0"/>
  </c:chart>
  <c:spPr>
    <a:ln w="19050">
      <a:solidFill>
        <a:schemeClr val="tx2"/>
      </a:solidFill>
    </a:ln>
  </c:spPr>
  <c:printSettings>
    <c:headerFooter/>
    <c:pageMargins b="0.78740157499999996" l="0.7" r="0.7" t="0.78740157499999996"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r>
              <a:rPr lang="de-DE" sz="1600" b="0" i="0" u="none" strike="noStrike" kern="1200" baseline="0">
                <a:solidFill>
                  <a:sysClr val="windowText" lastClr="000000"/>
                </a:solidFill>
                <a:latin typeface="Century Gothic" panose="020B0502020202020204" pitchFamily="34" charset="0"/>
                <a:ea typeface="+mn-ea"/>
                <a:cs typeface="+mn-cs"/>
              </a:rPr>
              <a:t>Entwicklung von Wert und Netto-Vermögen</a:t>
            </a:r>
          </a:p>
        </c:rich>
      </c:tx>
      <c:layout>
        <c:manualLayout>
          <c:xMode val="edge"/>
          <c:yMode val="edge"/>
          <c:x val="0.35361452996171122"/>
          <c:y val="3.2128514056224897E-2"/>
        </c:manualLayout>
      </c:layout>
      <c:overlay val="0"/>
      <c:spPr>
        <a:noFill/>
        <a:ln>
          <a:noFill/>
        </a:ln>
        <a:effectLst/>
      </c:spPr>
      <c:txPr>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endParaRPr lang="de-DE"/>
        </a:p>
      </c:txPr>
    </c:title>
    <c:autoTitleDeleted val="0"/>
    <c:plotArea>
      <c:layout>
        <c:manualLayout>
          <c:layoutTarget val="inner"/>
          <c:xMode val="edge"/>
          <c:yMode val="edge"/>
          <c:x val="4.5542568897637796E-2"/>
          <c:y val="0.1884480543318649"/>
          <c:w val="0.94510898784113617"/>
          <c:h val="0.67598231767009298"/>
        </c:manualLayout>
      </c:layout>
      <c:barChart>
        <c:barDir val="col"/>
        <c:grouping val="clustered"/>
        <c:varyColors val="0"/>
        <c:ser>
          <c:idx val="0"/>
          <c:order val="0"/>
          <c:tx>
            <c:v>Netto-Vermögen (€) - Jahresanfang</c:v>
          </c:tx>
          <c:spPr>
            <a:solidFill>
              <a:schemeClr val="tx2">
                <a:lumMod val="10000"/>
                <a:lumOff val="90000"/>
              </a:schemeClr>
            </a:solidFill>
            <a:ln w="6350" cap="flat" cmpd="sng" algn="ctr">
              <a:solidFill>
                <a:schemeClr val="tx2">
                  <a:lumMod val="50000"/>
                  <a:lumOff val="50000"/>
                </a:schemeClr>
              </a:solidFill>
              <a:prstDash val="solid"/>
              <a:round/>
            </a:ln>
            <a:effectLst/>
          </c:spPr>
          <c:invertIfNegative val="0"/>
          <c:cat>
            <c:numRef>
              <c:f>'Kennzahlen im Verlauf'!$D$13:$BA$13</c:f>
              <c:numCache>
                <c:formatCode>0</c:formatCode>
                <c:ptCount val="50"/>
                <c:pt idx="0" formatCode="General">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pt idx="25">
                  <c:v>2049</c:v>
                </c:pt>
                <c:pt idx="26">
                  <c:v>2050</c:v>
                </c:pt>
                <c:pt idx="27">
                  <c:v>2051</c:v>
                </c:pt>
                <c:pt idx="28">
                  <c:v>2052</c:v>
                </c:pt>
                <c:pt idx="29">
                  <c:v>2053</c:v>
                </c:pt>
                <c:pt idx="30">
                  <c:v>2054</c:v>
                </c:pt>
                <c:pt idx="31">
                  <c:v>2055</c:v>
                </c:pt>
                <c:pt idx="32">
                  <c:v>2056</c:v>
                </c:pt>
                <c:pt idx="33">
                  <c:v>2057</c:v>
                </c:pt>
                <c:pt idx="34">
                  <c:v>2058</c:v>
                </c:pt>
                <c:pt idx="35">
                  <c:v>2059</c:v>
                </c:pt>
                <c:pt idx="36">
                  <c:v>2060</c:v>
                </c:pt>
                <c:pt idx="37">
                  <c:v>2061</c:v>
                </c:pt>
                <c:pt idx="38">
                  <c:v>2062</c:v>
                </c:pt>
                <c:pt idx="39">
                  <c:v>2063</c:v>
                </c:pt>
                <c:pt idx="40">
                  <c:v>2064</c:v>
                </c:pt>
                <c:pt idx="41">
                  <c:v>2065</c:v>
                </c:pt>
                <c:pt idx="42">
                  <c:v>2066</c:v>
                </c:pt>
                <c:pt idx="43">
                  <c:v>2067</c:v>
                </c:pt>
                <c:pt idx="44">
                  <c:v>2068</c:v>
                </c:pt>
                <c:pt idx="45">
                  <c:v>2069</c:v>
                </c:pt>
                <c:pt idx="46">
                  <c:v>2070</c:v>
                </c:pt>
                <c:pt idx="47">
                  <c:v>2071</c:v>
                </c:pt>
                <c:pt idx="48">
                  <c:v>2072</c:v>
                </c:pt>
                <c:pt idx="49">
                  <c:v>2073</c:v>
                </c:pt>
              </c:numCache>
            </c:numRef>
          </c:cat>
          <c:val>
            <c:numRef>
              <c:f>'Kennzahlen im Verlauf'!$D$15:$BA$15</c:f>
              <c:numCache>
                <c:formatCode>#,##0</c:formatCode>
                <c:ptCount val="5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numCache>
            </c:numRef>
          </c:val>
          <c:extLst>
            <c:ext xmlns:c16="http://schemas.microsoft.com/office/drawing/2014/chart" uri="{C3380CC4-5D6E-409C-BE32-E72D297353CC}">
              <c16:uniqueId val="{00000000-8031-4F43-9EAB-A3CEBE174947}"/>
            </c:ext>
          </c:extLst>
        </c:ser>
        <c:ser>
          <c:idx val="1"/>
          <c:order val="1"/>
          <c:tx>
            <c:v>Wert der Immobilie (€) - Jahresanfang</c:v>
          </c:tx>
          <c:spPr>
            <a:solidFill>
              <a:schemeClr val="tx2"/>
            </a:solidFill>
            <a:ln w="6350" cap="flat" cmpd="sng" algn="ctr">
              <a:solidFill>
                <a:schemeClr val="tx2"/>
              </a:solidFill>
              <a:prstDash val="solid"/>
              <a:round/>
            </a:ln>
            <a:effectLst/>
          </c:spPr>
          <c:invertIfNegative val="0"/>
          <c:cat>
            <c:numRef>
              <c:f>'Kennzahlen im Verlauf'!$D$13:$BA$13</c:f>
              <c:numCache>
                <c:formatCode>0</c:formatCode>
                <c:ptCount val="50"/>
                <c:pt idx="0" formatCode="General">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pt idx="25">
                  <c:v>2049</c:v>
                </c:pt>
                <c:pt idx="26">
                  <c:v>2050</c:v>
                </c:pt>
                <c:pt idx="27">
                  <c:v>2051</c:v>
                </c:pt>
                <c:pt idx="28">
                  <c:v>2052</c:v>
                </c:pt>
                <c:pt idx="29">
                  <c:v>2053</c:v>
                </c:pt>
                <c:pt idx="30">
                  <c:v>2054</c:v>
                </c:pt>
                <c:pt idx="31">
                  <c:v>2055</c:v>
                </c:pt>
                <c:pt idx="32">
                  <c:v>2056</c:v>
                </c:pt>
                <c:pt idx="33">
                  <c:v>2057</c:v>
                </c:pt>
                <c:pt idx="34">
                  <c:v>2058</c:v>
                </c:pt>
                <c:pt idx="35">
                  <c:v>2059</c:v>
                </c:pt>
                <c:pt idx="36">
                  <c:v>2060</c:v>
                </c:pt>
                <c:pt idx="37">
                  <c:v>2061</c:v>
                </c:pt>
                <c:pt idx="38">
                  <c:v>2062</c:v>
                </c:pt>
                <c:pt idx="39">
                  <c:v>2063</c:v>
                </c:pt>
                <c:pt idx="40">
                  <c:v>2064</c:v>
                </c:pt>
                <c:pt idx="41">
                  <c:v>2065</c:v>
                </c:pt>
                <c:pt idx="42">
                  <c:v>2066</c:v>
                </c:pt>
                <c:pt idx="43">
                  <c:v>2067</c:v>
                </c:pt>
                <c:pt idx="44">
                  <c:v>2068</c:v>
                </c:pt>
                <c:pt idx="45">
                  <c:v>2069</c:v>
                </c:pt>
                <c:pt idx="46">
                  <c:v>2070</c:v>
                </c:pt>
                <c:pt idx="47">
                  <c:v>2071</c:v>
                </c:pt>
                <c:pt idx="48">
                  <c:v>2072</c:v>
                </c:pt>
                <c:pt idx="49">
                  <c:v>2073</c:v>
                </c:pt>
              </c:numCache>
            </c:numRef>
          </c:cat>
          <c:val>
            <c:numRef>
              <c:f>'Kennzahlen im Verlauf'!$D$14:$BA$14</c:f>
              <c:numCache>
                <c:formatCode>#,##0</c:formatCode>
                <c:ptCount val="5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numCache>
            </c:numRef>
          </c:val>
          <c:extLst>
            <c:ext xmlns:c16="http://schemas.microsoft.com/office/drawing/2014/chart" uri="{C3380CC4-5D6E-409C-BE32-E72D297353CC}">
              <c16:uniqueId val="{00000001-8031-4F43-9EAB-A3CEBE174947}"/>
            </c:ext>
          </c:extLst>
        </c:ser>
        <c:dLbls>
          <c:showLegendKey val="0"/>
          <c:showVal val="0"/>
          <c:showCatName val="0"/>
          <c:showSerName val="0"/>
          <c:showPercent val="0"/>
          <c:showBubbleSize val="0"/>
        </c:dLbls>
        <c:gapWidth val="75"/>
        <c:axId val="190813312"/>
        <c:axId val="190814848"/>
      </c:barChart>
      <c:catAx>
        <c:axId val="190813312"/>
        <c:scaling>
          <c:orientation val="minMax"/>
        </c:scaling>
        <c:delete val="0"/>
        <c:axPos val="b"/>
        <c:numFmt formatCode="General" sourceLinked="1"/>
        <c:majorTickMark val="none"/>
        <c:minorTickMark val="none"/>
        <c:tickLblPos val="low"/>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814848"/>
        <c:crosses val="autoZero"/>
        <c:auto val="1"/>
        <c:lblAlgn val="ctr"/>
        <c:lblOffset val="100"/>
        <c:noMultiLvlLbl val="0"/>
      </c:catAx>
      <c:valAx>
        <c:axId val="190814848"/>
        <c:scaling>
          <c:orientation val="minMax"/>
        </c:scaling>
        <c:delete val="0"/>
        <c:axPos val="l"/>
        <c:majorGridlines>
          <c:spPr>
            <a:ln w="6350" cap="flat" cmpd="sng" algn="ctr">
              <a:solidFill>
                <a:schemeClr val="bg1">
                  <a:lumMod val="50000"/>
                </a:schemeClr>
              </a:solidFill>
              <a:prstDash val="solid"/>
              <a:round/>
            </a:ln>
            <a:effectLst/>
          </c:spPr>
        </c:majorGridlines>
        <c:numFmt formatCode="#,##0" sourceLinked="1"/>
        <c:majorTickMark val="none"/>
        <c:minorTickMark val="none"/>
        <c:tickLblPos val="nextTo"/>
        <c:spPr>
          <a:noFill/>
          <a:ln w="6350" cap="flat" cmpd="sng" algn="ctr">
            <a:solidFill>
              <a:schemeClr val="bg1">
                <a:lumMod val="50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813312"/>
        <c:crosses val="autoZero"/>
        <c:crossBetween val="between"/>
      </c:valAx>
      <c:spPr>
        <a:solidFill>
          <a:schemeClr val="bg1"/>
        </a:solidFill>
        <a:ln>
          <a:solidFill>
            <a:schemeClr val="bg1">
              <a:lumMod val="50000"/>
            </a:schemeClr>
          </a:solidFill>
        </a:ln>
        <a:effectLst/>
      </c:spPr>
    </c:plotArea>
    <c:legend>
      <c:legendPos val="b"/>
      <c:layout>
        <c:manualLayout>
          <c:xMode val="edge"/>
          <c:yMode val="edge"/>
          <c:x val="0.81803437797983436"/>
          <c:y val="5.7059777288301521E-2"/>
          <c:w val="0.18000050288481811"/>
          <c:h val="0.1168786710719530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legend>
    <c:plotVisOnly val="1"/>
    <c:dispBlanksAs val="gap"/>
    <c:showDLblsOverMax val="0"/>
  </c:chart>
  <c:spPr>
    <a:solidFill>
      <a:schemeClr val="bg1"/>
    </a:solidFill>
    <a:ln w="19050" cap="flat" cmpd="sng" algn="ctr">
      <a:solidFill>
        <a:schemeClr val="tx2"/>
      </a:solidFill>
      <a:prstDash val="solid"/>
      <a:round/>
    </a:ln>
    <a:effectLst/>
  </c:spPr>
  <c:txPr>
    <a:bodyPr/>
    <a:lstStyle/>
    <a:p>
      <a:pPr>
        <a:defRPr/>
      </a:pPr>
      <a:endParaRPr lang="de-DE"/>
    </a:p>
  </c:txPr>
  <c:printSettings>
    <c:headerFooter/>
    <c:pageMargins b="0.78740157499999996" l="0.7" r="0.7" t="0.78740157499999996"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cap="none" baseline="0">
                <a:solidFill>
                  <a:schemeClr val="tx1">
                    <a:lumMod val="65000"/>
                    <a:lumOff val="35000"/>
                  </a:schemeClr>
                </a:solidFill>
                <a:latin typeface="Century Gothic" panose="020B0502020202020204" pitchFamily="34" charset="0"/>
                <a:ea typeface="+mn-ea"/>
                <a:cs typeface="+mn-cs"/>
              </a:defRPr>
            </a:pPr>
            <a:r>
              <a:rPr lang="de-DE" sz="1600" b="0" cap="none" baseline="0">
                <a:solidFill>
                  <a:sysClr val="windowText" lastClr="000000"/>
                </a:solidFill>
                <a:latin typeface="Century Gothic" panose="020B0502020202020204" pitchFamily="34" charset="0"/>
              </a:rPr>
              <a:t>Gesamtinvesititionskosten</a:t>
            </a:r>
          </a:p>
        </c:rich>
      </c:tx>
      <c:overlay val="1"/>
      <c:spPr>
        <a:noFill/>
        <a:ln>
          <a:noFill/>
        </a:ln>
        <a:effectLst/>
      </c:spPr>
      <c:txPr>
        <a:bodyPr rot="0" spcFirstLastPara="1" vertOverflow="ellipsis" vert="horz" wrap="square" anchor="ctr" anchorCtr="1"/>
        <a:lstStyle/>
        <a:p>
          <a:pPr>
            <a:defRPr sz="1600" b="0" i="0" u="none" strike="noStrike" kern="1200" cap="none" baseline="0">
              <a:solidFill>
                <a:schemeClr val="tx1">
                  <a:lumMod val="65000"/>
                  <a:lumOff val="35000"/>
                </a:schemeClr>
              </a:solidFill>
              <a:latin typeface="Century Gothic" panose="020B0502020202020204" pitchFamily="34" charset="0"/>
              <a:ea typeface="+mn-ea"/>
              <a:cs typeface="+mn-cs"/>
            </a:defRPr>
          </a:pPr>
          <a:endParaRPr lang="de-DE"/>
        </a:p>
      </c:txPr>
    </c:title>
    <c:autoTitleDeleted val="0"/>
    <c:view3D>
      <c:rotX val="50"/>
      <c:rotY val="11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1452555555555555"/>
          <c:y val="0.27777777777777779"/>
          <c:w val="0.57447694444444453"/>
          <c:h val="0.57407407407407407"/>
        </c:manualLayout>
      </c:layout>
      <c:pie3DChart>
        <c:varyColors val="1"/>
        <c:ser>
          <c:idx val="0"/>
          <c:order val="0"/>
          <c:spPr>
            <a:ln>
              <a:solidFill>
                <a:schemeClr val="tx2">
                  <a:lumMod val="90000"/>
                  <a:lumOff val="10000"/>
                </a:schemeClr>
              </a:solidFill>
            </a:ln>
          </c:spPr>
          <c:explosion val="15"/>
          <c:dPt>
            <c:idx val="0"/>
            <c:bubble3D val="0"/>
            <c:spPr>
              <a:solidFill>
                <a:schemeClr val="accent1">
                  <a:alpha val="90000"/>
                </a:schemeClr>
              </a:solidFill>
              <a:ln w="19050">
                <a:solidFill>
                  <a:schemeClr val="accent1">
                    <a:lumMod val="75000"/>
                  </a:schemeClr>
                </a:solidFill>
              </a:ln>
              <a:effectLst>
                <a:innerShdw blurRad="114300">
                  <a:schemeClr val="accent1">
                    <a:lumMod val="75000"/>
                  </a:schemeClr>
                </a:innerShdw>
              </a:effectLst>
              <a:scene3d>
                <a:camera prst="orthographicFront"/>
                <a:lightRig rig="threePt" dir="t"/>
              </a:scene3d>
              <a:sp3d contourW="19050" prstMaterial="flat">
                <a:contourClr>
                  <a:schemeClr val="accent1">
                    <a:lumMod val="75000"/>
                  </a:schemeClr>
                </a:contourClr>
              </a:sp3d>
            </c:spPr>
            <c:extLst>
              <c:ext xmlns:c16="http://schemas.microsoft.com/office/drawing/2014/chart" uri="{C3380CC4-5D6E-409C-BE32-E72D297353CC}">
                <c16:uniqueId val="{0000000C-62ED-40F8-A80B-14E8AEB38B70}"/>
              </c:ext>
            </c:extLst>
          </c:dPt>
          <c:dPt>
            <c:idx val="1"/>
            <c:bubble3D val="0"/>
            <c:spPr>
              <a:solidFill>
                <a:schemeClr val="tx2"/>
              </a:solidFill>
              <a:ln w="19050">
                <a:solidFill>
                  <a:schemeClr val="tx2">
                    <a:lumMod val="90000"/>
                    <a:lumOff val="10000"/>
                  </a:schemeClr>
                </a:solidFill>
              </a:ln>
              <a:effectLst>
                <a:innerShdw blurRad="114300">
                  <a:schemeClr val="accent2">
                    <a:lumMod val="75000"/>
                  </a:schemeClr>
                </a:innerShdw>
              </a:effectLst>
              <a:scene3d>
                <a:camera prst="orthographicFront"/>
                <a:lightRig rig="threePt" dir="t"/>
              </a:scene3d>
              <a:sp3d contourW="19050" prstMaterial="flat">
                <a:contourClr>
                  <a:schemeClr val="tx2">
                    <a:lumMod val="90000"/>
                    <a:lumOff val="10000"/>
                  </a:schemeClr>
                </a:contourClr>
              </a:sp3d>
            </c:spPr>
            <c:extLst>
              <c:ext xmlns:c16="http://schemas.microsoft.com/office/drawing/2014/chart" uri="{C3380CC4-5D6E-409C-BE32-E72D297353CC}">
                <c16:uniqueId val="{00000001-0E6B-44FB-8016-D60CA38A1E64}"/>
              </c:ext>
            </c:extLst>
          </c:dPt>
          <c:dPt>
            <c:idx val="2"/>
            <c:bubble3D val="0"/>
            <c:spPr>
              <a:solidFill>
                <a:schemeClr val="tx2">
                  <a:lumMod val="10000"/>
                  <a:lumOff val="90000"/>
                </a:schemeClr>
              </a:solidFill>
              <a:ln w="19050">
                <a:solidFill>
                  <a:schemeClr val="tx2">
                    <a:lumMod val="50000"/>
                    <a:lumOff val="50000"/>
                  </a:schemeClr>
                </a:solidFill>
              </a:ln>
              <a:effectLst>
                <a:innerShdw blurRad="114300">
                  <a:schemeClr val="accent3">
                    <a:lumMod val="75000"/>
                  </a:schemeClr>
                </a:innerShdw>
              </a:effectLst>
              <a:scene3d>
                <a:camera prst="orthographicFront"/>
                <a:lightRig rig="threePt" dir="t"/>
              </a:scene3d>
              <a:sp3d contourW="19050" prstMaterial="flat">
                <a:contourClr>
                  <a:schemeClr val="tx2">
                    <a:lumMod val="50000"/>
                    <a:lumOff val="50000"/>
                  </a:schemeClr>
                </a:contourClr>
              </a:sp3d>
            </c:spPr>
            <c:extLst>
              <c:ext xmlns:c16="http://schemas.microsoft.com/office/drawing/2014/chart" uri="{C3380CC4-5D6E-409C-BE32-E72D297353CC}">
                <c16:uniqueId val="{00000003-0E6B-44FB-8016-D60CA38A1E64}"/>
              </c:ext>
            </c:extLst>
          </c:dPt>
          <c:dLbls>
            <c:dLbl>
              <c:idx val="0"/>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8100" tIns="19050" rIns="38100" bIns="19050"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1"/>
                      </a:solidFill>
                      <a:round/>
                    </a:ln>
                  </c15:spPr>
                </c:ext>
                <c:ext xmlns:c16="http://schemas.microsoft.com/office/drawing/2014/chart" uri="{C3380CC4-5D6E-409C-BE32-E72D297353CC}">
                  <c16:uniqueId val="{0000000C-62ED-40F8-A80B-14E8AEB38B70}"/>
                </c:ext>
              </c:extLst>
            </c:dLbl>
            <c:dLbl>
              <c:idx val="1"/>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8100" tIns="19050" rIns="38100" bIns="19050"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1"/>
                      </a:solidFill>
                      <a:round/>
                    </a:ln>
                  </c15:spPr>
                </c:ext>
                <c:ext xmlns:c16="http://schemas.microsoft.com/office/drawing/2014/chart" uri="{C3380CC4-5D6E-409C-BE32-E72D297353CC}">
                  <c16:uniqueId val="{00000001-0E6B-44FB-8016-D60CA38A1E64}"/>
                </c:ext>
              </c:extLst>
            </c:dLbl>
            <c:dLbl>
              <c:idx val="2"/>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8100" tIns="19050" rIns="38100" bIns="19050"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1"/>
                      </a:solidFill>
                      <a:round/>
                    </a:ln>
                  </c15:spPr>
                </c:ext>
                <c:ext xmlns:c16="http://schemas.microsoft.com/office/drawing/2014/chart" uri="{C3380CC4-5D6E-409C-BE32-E72D297353CC}">
                  <c16:uniqueId val="{00000003-0E6B-44FB-8016-D60CA38A1E64}"/>
                </c:ext>
              </c:extLst>
            </c:dLbl>
            <c:spPr>
              <a:ln>
                <a:solidFill>
                  <a:schemeClr val="tx2"/>
                </a:solidFill>
              </a:ln>
              <a:effectLst>
                <a:outerShdw blurRad="50800" dist="38100" dir="2700000" algn="tl" rotWithShape="0">
                  <a:schemeClr val="tx2">
                    <a:alpha val="40000"/>
                  </a:schemeClr>
                </a:outerShdw>
              </a:effectLst>
            </c:spPr>
            <c:txPr>
              <a:bodyPr rot="0" spcFirstLastPara="1" vertOverflow="clip" horzOverflow="clip" vert="horz" wrap="square" lIns="38100" tIns="19050" rIns="38100" bIns="19050"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separator>, </c:separator>
            <c:showLeaderLines val="1"/>
            <c:leaderLines>
              <c:spPr>
                <a:ln w="9525">
                  <a:solidFill>
                    <a:schemeClr val="tx1">
                      <a:lumMod val="35000"/>
                      <a:lumOff val="65000"/>
                    </a:schemeClr>
                  </a:solidFill>
                </a:ln>
                <a:effectLst/>
              </c:spPr>
            </c:leaderLines>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1"/>
                    </a:solidFill>
                    <a:round/>
                  </a:ln>
                </c15:spPr>
              </c:ext>
            </c:extLst>
          </c:dLbls>
          <c:cat>
            <c:strRef>
              <c:f>Diagramme!$C$10:$C$12</c:f>
              <c:strCache>
                <c:ptCount val="3"/>
                <c:pt idx="0">
                  <c:v>Kaufpreis</c:v>
                </c:pt>
                <c:pt idx="1">
                  <c:v>Nebenkosten</c:v>
                </c:pt>
                <c:pt idx="2">
                  <c:v>Anfängl. Invest.</c:v>
                </c:pt>
              </c:strCache>
            </c:strRef>
          </c:cat>
          <c:val>
            <c:numRef>
              <c:f>Diagramme!$D$10:$D$12</c:f>
              <c:numCache>
                <c:formatCode>#,##0\ "€"</c:formatCode>
                <c:ptCount val="3"/>
                <c:pt idx="0">
                  <c:v>0</c:v>
                </c:pt>
                <c:pt idx="1">
                  <c:v>#N/A</c:v>
                </c:pt>
                <c:pt idx="2">
                  <c:v>#N/A</c:v>
                </c:pt>
              </c:numCache>
            </c:numRef>
          </c:val>
          <c:extLst>
            <c:ext xmlns:c16="http://schemas.microsoft.com/office/drawing/2014/chart" uri="{C3380CC4-5D6E-409C-BE32-E72D297353CC}">
              <c16:uniqueId val="{00000004-0E6B-44FB-8016-D60CA38A1E64}"/>
            </c:ext>
          </c:extLst>
        </c:ser>
        <c:dLbls>
          <c:dLblPos val="inEnd"/>
          <c:showLegendKey val="0"/>
          <c:showVal val="1"/>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19050" cap="flat" cmpd="sng" algn="ctr">
      <a:solidFill>
        <a:schemeClr val="tx2"/>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r>
              <a:rPr lang="de-DE" sz="1600" b="0" cap="none" baseline="0">
                <a:solidFill>
                  <a:sysClr val="windowText" lastClr="000000"/>
                </a:solidFill>
                <a:latin typeface="Century Gothic" panose="020B0502020202020204" pitchFamily="34" charset="0"/>
              </a:rPr>
              <a:t>Finanzierungsstruktur</a:t>
            </a:r>
          </a:p>
        </c:rich>
      </c:tx>
      <c:overlay val="1"/>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de-DE"/>
        </a:p>
      </c:txPr>
    </c:title>
    <c:autoTitleDeleted val="0"/>
    <c:view3D>
      <c:rotX val="50"/>
      <c:rotY val="15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2863666666666665"/>
          <c:y val="0.29166666666666669"/>
          <c:w val="0.54625472222222227"/>
          <c:h val="0.54629629629629628"/>
        </c:manualLayout>
      </c:layout>
      <c:pie3DChart>
        <c:varyColors val="1"/>
        <c:ser>
          <c:idx val="0"/>
          <c:order val="0"/>
          <c:explosion val="15"/>
          <c:dPt>
            <c:idx val="0"/>
            <c:bubble3D val="0"/>
            <c:spPr>
              <a:solidFill>
                <a:schemeClr val="accent1">
                  <a:alpha val="90000"/>
                </a:schemeClr>
              </a:solidFill>
              <a:ln w="19050">
                <a:solidFill>
                  <a:schemeClr val="accent1">
                    <a:lumMod val="75000"/>
                  </a:schemeClr>
                </a:solidFill>
              </a:ln>
              <a:effectLst>
                <a:innerShdw blurRad="114300">
                  <a:schemeClr val="accent1">
                    <a:lumMod val="75000"/>
                  </a:schemeClr>
                </a:innerShdw>
              </a:effectLst>
              <a:scene3d>
                <a:camera prst="orthographicFront"/>
                <a:lightRig rig="threePt" dir="t"/>
              </a:scene3d>
              <a:sp3d contourW="19050" prstMaterial="flat">
                <a:contourClr>
                  <a:schemeClr val="accent1">
                    <a:lumMod val="75000"/>
                  </a:schemeClr>
                </a:contourClr>
              </a:sp3d>
            </c:spPr>
            <c:extLst>
              <c:ext xmlns:c16="http://schemas.microsoft.com/office/drawing/2014/chart" uri="{C3380CC4-5D6E-409C-BE32-E72D297353CC}">
                <c16:uniqueId val="{00000009-919B-4CA4-B1E1-7606DEF4914D}"/>
              </c:ext>
            </c:extLst>
          </c:dPt>
          <c:dPt>
            <c:idx val="1"/>
            <c:bubble3D val="0"/>
            <c:spPr>
              <a:solidFill>
                <a:schemeClr val="tx2"/>
              </a:solidFill>
              <a:ln w="19050">
                <a:solidFill>
                  <a:schemeClr val="tx2">
                    <a:lumMod val="90000"/>
                    <a:lumOff val="10000"/>
                  </a:schemeClr>
                </a:solidFill>
              </a:ln>
              <a:effectLst>
                <a:innerShdw blurRad="114300">
                  <a:schemeClr val="accent2">
                    <a:lumMod val="75000"/>
                  </a:schemeClr>
                </a:innerShdw>
              </a:effectLst>
              <a:scene3d>
                <a:camera prst="orthographicFront"/>
                <a:lightRig rig="threePt" dir="t"/>
              </a:scene3d>
              <a:sp3d contourW="19050" prstMaterial="flat">
                <a:contourClr>
                  <a:schemeClr val="tx2">
                    <a:lumMod val="90000"/>
                    <a:lumOff val="10000"/>
                  </a:schemeClr>
                </a:contourClr>
              </a:sp3d>
            </c:spPr>
            <c:extLst>
              <c:ext xmlns:c16="http://schemas.microsoft.com/office/drawing/2014/chart" uri="{C3380CC4-5D6E-409C-BE32-E72D297353CC}">
                <c16:uniqueId val="{00000001-F3DD-4548-9A17-DB7CEA3856BE}"/>
              </c:ext>
            </c:extLst>
          </c:dPt>
          <c:dPt>
            <c:idx val="2"/>
            <c:bubble3D val="0"/>
            <c:spPr>
              <a:solidFill>
                <a:schemeClr val="tx2">
                  <a:lumMod val="10000"/>
                  <a:lumOff val="90000"/>
                </a:schemeClr>
              </a:solidFill>
              <a:ln w="19050">
                <a:solidFill>
                  <a:schemeClr val="tx2">
                    <a:lumMod val="50000"/>
                    <a:lumOff val="50000"/>
                  </a:schemeClr>
                </a:solidFill>
              </a:ln>
              <a:effectLst>
                <a:innerShdw blurRad="114300">
                  <a:schemeClr val="accent3">
                    <a:lumMod val="75000"/>
                  </a:schemeClr>
                </a:innerShdw>
              </a:effectLst>
              <a:scene3d>
                <a:camera prst="orthographicFront"/>
                <a:lightRig rig="threePt" dir="t"/>
              </a:scene3d>
              <a:sp3d contourW="19050" prstMaterial="flat">
                <a:contourClr>
                  <a:schemeClr val="tx2">
                    <a:lumMod val="50000"/>
                    <a:lumOff val="50000"/>
                  </a:schemeClr>
                </a:contourClr>
              </a:sp3d>
            </c:spPr>
            <c:extLst>
              <c:ext xmlns:c16="http://schemas.microsoft.com/office/drawing/2014/chart" uri="{C3380CC4-5D6E-409C-BE32-E72D297353CC}">
                <c16:uniqueId val="{00000003-F3DD-4548-9A17-DB7CEA3856BE}"/>
              </c:ext>
            </c:extLst>
          </c:dPt>
          <c:dLbls>
            <c:dLbl>
              <c:idx val="0"/>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1"/>
                      </a:solidFill>
                      <a:round/>
                    </a:ln>
                  </c15:spPr>
                </c:ext>
                <c:ext xmlns:c16="http://schemas.microsoft.com/office/drawing/2014/chart" uri="{C3380CC4-5D6E-409C-BE32-E72D297353CC}">
                  <c16:uniqueId val="{00000009-919B-4CA4-B1E1-7606DEF4914D}"/>
                </c:ext>
              </c:extLst>
            </c:dLbl>
            <c:dLbl>
              <c:idx val="1"/>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1"/>
                      </a:solidFill>
                      <a:round/>
                    </a:ln>
                  </c15:spPr>
                </c:ext>
                <c:ext xmlns:c16="http://schemas.microsoft.com/office/drawing/2014/chart" uri="{C3380CC4-5D6E-409C-BE32-E72D297353CC}">
                  <c16:uniqueId val="{00000001-F3DD-4548-9A17-DB7CEA3856BE}"/>
                </c:ext>
              </c:extLst>
            </c:dLbl>
            <c:dLbl>
              <c:idx val="2"/>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1"/>
                      </a:solidFill>
                      <a:round/>
                    </a:ln>
                  </c15:spPr>
                </c:ext>
                <c:ext xmlns:c16="http://schemas.microsoft.com/office/drawing/2014/chart" uri="{C3380CC4-5D6E-409C-BE32-E72D297353CC}">
                  <c16:uniqueId val="{00000003-F3DD-4548-9A17-DB7CEA3856BE}"/>
                </c:ext>
              </c:extLst>
            </c:dLbl>
            <c:spPr>
              <a:ln>
                <a:solidFill>
                  <a:schemeClr val="tx2"/>
                </a:solidFill>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separator>, </c:separator>
            <c:showLeaderLines val="1"/>
            <c:leaderLines>
              <c:spPr>
                <a:ln w="9525">
                  <a:solidFill>
                    <a:schemeClr val="tx1">
                      <a:lumMod val="35000"/>
                      <a:lumOff val="65000"/>
                    </a:schemeClr>
                  </a:solidFill>
                </a:ln>
                <a:effectLst/>
              </c:spPr>
            </c:leaderLines>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1"/>
                    </a:solidFill>
                    <a:round/>
                  </a:ln>
                </c15:spPr>
              </c:ext>
            </c:extLst>
          </c:dLbls>
          <c:cat>
            <c:strRef>
              <c:f>Diagramme!$H$10:$H$12</c:f>
              <c:strCache>
                <c:ptCount val="3"/>
                <c:pt idx="0">
                  <c:v>Hauptdarlehen</c:v>
                </c:pt>
                <c:pt idx="1">
                  <c:v>Weitere Darlehen</c:v>
                </c:pt>
                <c:pt idx="2">
                  <c:v>Eigenkapital</c:v>
                </c:pt>
              </c:strCache>
            </c:strRef>
          </c:cat>
          <c:val>
            <c:numRef>
              <c:f>Diagramme!$I$10:$I$12</c:f>
              <c:numCache>
                <c:formatCode>#,##0\ "€"</c:formatCode>
                <c:ptCount val="3"/>
                <c:pt idx="0">
                  <c:v>#N/A</c:v>
                </c:pt>
                <c:pt idx="1">
                  <c:v>#N/A</c:v>
                </c:pt>
                <c:pt idx="2">
                  <c:v>0</c:v>
                </c:pt>
              </c:numCache>
            </c:numRef>
          </c:val>
          <c:extLst>
            <c:ext xmlns:c16="http://schemas.microsoft.com/office/drawing/2014/chart" uri="{C3380CC4-5D6E-409C-BE32-E72D297353CC}">
              <c16:uniqueId val="{00000004-F3DD-4548-9A17-DB7CEA3856BE}"/>
            </c:ext>
          </c:extLst>
        </c:ser>
        <c:dLbls>
          <c:dLblPos val="inEnd"/>
          <c:showLegendKey val="0"/>
          <c:showVal val="1"/>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19050" cap="flat" cmpd="sng" algn="ctr">
      <a:solidFill>
        <a:schemeClr val="tx2"/>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r>
              <a:rPr lang="de-DE" sz="1600" b="0" i="0" u="none" strike="noStrike" kern="1200" baseline="0">
                <a:solidFill>
                  <a:sysClr val="windowText" lastClr="000000"/>
                </a:solidFill>
                <a:latin typeface="Century Gothic" panose="020B0502020202020204" pitchFamily="34" charset="0"/>
                <a:ea typeface="+mn-ea"/>
                <a:cs typeface="+mn-cs"/>
              </a:rPr>
              <a:t>Anfänglicher Cashflow nach Steuern</a:t>
            </a:r>
          </a:p>
        </c:rich>
      </c:tx>
      <c:overlay val="1"/>
      <c:spPr>
        <a:noFill/>
        <a:ln>
          <a:noFill/>
        </a:ln>
        <a:effectLst/>
      </c:spPr>
      <c:txPr>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endParaRPr lang="de-DE"/>
        </a:p>
      </c:txPr>
    </c:title>
    <c:autoTitleDeleted val="0"/>
    <c:plotArea>
      <c:layout>
        <c:manualLayout>
          <c:layoutTarget val="inner"/>
          <c:xMode val="edge"/>
          <c:yMode val="edge"/>
          <c:x val="8.9145001153462772E-2"/>
          <c:y val="0.19491907261592301"/>
          <c:w val="0.56872327567410674"/>
          <c:h val="0.70298993875765525"/>
        </c:manualLayout>
      </c:layout>
      <c:barChart>
        <c:barDir val="col"/>
        <c:grouping val="stacked"/>
        <c:varyColors val="0"/>
        <c:ser>
          <c:idx val="1"/>
          <c:order val="0"/>
          <c:tx>
            <c:strRef>
              <c:f>Diagramme!$L$13</c:f>
              <c:strCache>
                <c:ptCount val="1"/>
                <c:pt idx="0">
                  <c:v>Bewirtschaftungskosten</c:v>
                </c:pt>
              </c:strCache>
            </c:strRef>
          </c:tx>
          <c:spPr>
            <a:solidFill>
              <a:schemeClr val="tx2"/>
            </a:solidFill>
            <a:ln>
              <a:noFill/>
            </a:ln>
            <a:effectLst/>
          </c:spPr>
          <c:invertIfNegative val="0"/>
          <c:cat>
            <c:strRef>
              <c:f>Diagramme!$M$9:$N$9</c:f>
              <c:strCache>
                <c:ptCount val="2"/>
                <c:pt idx="0">
                  <c:v>Einnahmen</c:v>
                </c:pt>
                <c:pt idx="1">
                  <c:v>Ausgaben</c:v>
                </c:pt>
              </c:strCache>
            </c:strRef>
          </c:cat>
          <c:val>
            <c:numRef>
              <c:f>Diagramme!$M$13:$N$13</c:f>
              <c:numCache>
                <c:formatCode>0</c:formatCode>
                <c:ptCount val="2"/>
                <c:pt idx="1">
                  <c:v>0</c:v>
                </c:pt>
              </c:numCache>
            </c:numRef>
          </c:val>
          <c:extLst>
            <c:ext xmlns:c16="http://schemas.microsoft.com/office/drawing/2014/chart" uri="{C3380CC4-5D6E-409C-BE32-E72D297353CC}">
              <c16:uniqueId val="{00000007-D5E1-42F8-A469-89C362C3B0DF}"/>
            </c:ext>
          </c:extLst>
        </c:ser>
        <c:ser>
          <c:idx val="5"/>
          <c:order val="1"/>
          <c:tx>
            <c:strRef>
              <c:f>Diagramme!$L$14</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0</c:v>
                </c:pt>
              </c:numCache>
            </c:numRef>
          </c:val>
          <c:extLst>
            <c:ext xmlns:c16="http://schemas.microsoft.com/office/drawing/2014/chart" uri="{C3380CC4-5D6E-409C-BE32-E72D297353CC}">
              <c16:uniqueId val="{00000005-D5E1-42F8-A469-89C362C3B0DF}"/>
            </c:ext>
          </c:extLst>
        </c:ser>
        <c:ser>
          <c:idx val="4"/>
          <c:order val="2"/>
          <c:tx>
            <c:strRef>
              <c:f>Diagramme!$L$16</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Diagramme!$M$16:$N$16</c:f>
              <c:numCache>
                <c:formatCode>0</c:formatCode>
                <c:ptCount val="2"/>
                <c:pt idx="1">
                  <c:v>0</c:v>
                </c:pt>
              </c:numCache>
            </c:numRef>
          </c:val>
          <c:extLst>
            <c:ext xmlns:c16="http://schemas.microsoft.com/office/drawing/2014/chart" uri="{C3380CC4-5D6E-409C-BE32-E72D297353CC}">
              <c16:uniqueId val="{00000003-D5E1-42F8-A469-89C362C3B0DF}"/>
            </c:ext>
          </c:extLst>
        </c:ser>
        <c:ser>
          <c:idx val="3"/>
          <c:order val="3"/>
          <c:tx>
            <c:strRef>
              <c:f>Diagramme!$L$15</c:f>
              <c:strCache>
                <c:ptCount val="1"/>
                <c:pt idx="0">
                  <c:v>Tilgung</c:v>
                </c:pt>
              </c:strCache>
            </c:strRef>
          </c:tx>
          <c:spPr>
            <a:solidFill>
              <a:schemeClr val="tx2">
                <a:lumMod val="10000"/>
                <a:lumOff val="90000"/>
              </a:schemeClr>
            </a:solidFill>
            <a:ln>
              <a:noFill/>
            </a:ln>
            <a:effectLst/>
          </c:spPr>
          <c:invertIfNegative val="0"/>
          <c:cat>
            <c:strRef>
              <c:f>Diagramme!$M$9:$N$9</c:f>
              <c:strCache>
                <c:ptCount val="2"/>
                <c:pt idx="0">
                  <c:v>Einnahmen</c:v>
                </c:pt>
                <c:pt idx="1">
                  <c:v>Ausgaben</c:v>
                </c:pt>
              </c:strCache>
            </c:strRef>
          </c:cat>
          <c:val>
            <c:numRef>
              <c:f>Diagramme!$M$15:$N$15</c:f>
              <c:numCache>
                <c:formatCode>0</c:formatCode>
                <c:ptCount val="2"/>
                <c:pt idx="1">
                  <c:v>0</c:v>
                </c:pt>
              </c:numCache>
            </c:numRef>
          </c:val>
          <c:extLst>
            <c:ext xmlns:c16="http://schemas.microsoft.com/office/drawing/2014/chart" uri="{C3380CC4-5D6E-409C-BE32-E72D297353CC}">
              <c16:uniqueId val="{00000004-D5E1-42F8-A469-89C362C3B0DF}"/>
            </c:ext>
          </c:extLst>
        </c:ser>
        <c:ser>
          <c:idx val="0"/>
          <c:order val="4"/>
          <c:tx>
            <c:strRef>
              <c:f>Diagramme!$L$10</c:f>
              <c:strCache>
                <c:ptCount val="1"/>
                <c:pt idx="0">
                  <c:v>Warmmiete</c:v>
                </c:pt>
              </c:strCache>
            </c:strRef>
          </c:tx>
          <c:spPr>
            <a:solidFill>
              <a:schemeClr val="accent1"/>
            </a:solidFill>
            <a:ln>
              <a:noFill/>
            </a:ln>
            <a:effectLst/>
          </c:spPr>
          <c:invertIfNegative val="0"/>
          <c:cat>
            <c:strRef>
              <c:f>Diagramme!$M$9:$N$9</c:f>
              <c:strCache>
                <c:ptCount val="2"/>
                <c:pt idx="0">
                  <c:v>Einnahmen</c:v>
                </c:pt>
                <c:pt idx="1">
                  <c:v>Ausgaben</c:v>
                </c:pt>
              </c:strCache>
            </c:strRef>
          </c:cat>
          <c:val>
            <c:numRef>
              <c:f>Diagramme!$M$10:$N$10</c:f>
              <c:numCache>
                <c:formatCode>General</c:formatCode>
                <c:ptCount val="2"/>
                <c:pt idx="0">
                  <c:v>0</c:v>
                </c:pt>
              </c:numCache>
            </c:numRef>
          </c:val>
          <c:extLst>
            <c:ext xmlns:c16="http://schemas.microsoft.com/office/drawing/2014/chart" uri="{C3380CC4-5D6E-409C-BE32-E72D297353CC}">
              <c16:uniqueId val="{00000008-D5E1-42F8-A469-89C362C3B0DF}"/>
            </c:ext>
          </c:extLst>
        </c:ser>
        <c:dLbls>
          <c:showLegendKey val="0"/>
          <c:showVal val="0"/>
          <c:showCatName val="0"/>
          <c:showSerName val="0"/>
          <c:showPercent val="0"/>
          <c:showBubbleSize val="0"/>
        </c:dLbls>
        <c:gapWidth val="150"/>
        <c:overlap val="100"/>
        <c:axId val="190957440"/>
        <c:axId val="190958976"/>
      </c:barChart>
      <c:catAx>
        <c:axId val="190957440"/>
        <c:scaling>
          <c:orientation val="minMax"/>
        </c:scaling>
        <c:delete val="0"/>
        <c:axPos val="b"/>
        <c:numFmt formatCode="General" sourceLinked="0"/>
        <c:majorTickMark val="out"/>
        <c:minorTickMark val="none"/>
        <c:tickLblPos val="low"/>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958976"/>
        <c:crosses val="autoZero"/>
        <c:auto val="1"/>
        <c:lblAlgn val="ctr"/>
        <c:lblOffset val="100"/>
        <c:noMultiLvlLbl val="0"/>
      </c:catAx>
      <c:valAx>
        <c:axId val="190958976"/>
        <c:scaling>
          <c:orientation val="minMax"/>
        </c:scaling>
        <c:delete val="0"/>
        <c:axPos val="l"/>
        <c:majorGridlines>
          <c:spPr>
            <a:ln w="6350" cap="flat" cmpd="sng" algn="ctr">
              <a:solidFill>
                <a:schemeClr val="tx1">
                  <a:tint val="75000"/>
                </a:schemeClr>
              </a:solidFill>
              <a:prstDash val="solid"/>
              <a:round/>
            </a:ln>
            <a:effectLst/>
          </c:spPr>
        </c:majorGridlines>
        <c:numFmt formatCode="#,##0\ &quot;€&quot;" sourceLinked="0"/>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957440"/>
        <c:crosses val="autoZero"/>
        <c:crossBetween val="between"/>
      </c:valAx>
      <c:spPr>
        <a:solidFill>
          <a:schemeClr val="bg1"/>
        </a:solidFill>
        <a:ln>
          <a:noFill/>
        </a:ln>
        <a:effectLst/>
      </c:spPr>
    </c:plotArea>
    <c:legend>
      <c:legendPos val="r"/>
      <c:layout>
        <c:manualLayout>
          <c:xMode val="edge"/>
          <c:yMode val="edge"/>
          <c:x val="0.67547755535533183"/>
          <c:y val="0.18808727034120737"/>
          <c:w val="0.32231127825439726"/>
          <c:h val="0.7534547244094488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legend>
    <c:plotVisOnly val="1"/>
    <c:dispBlanksAs val="gap"/>
    <c:showDLblsOverMax val="0"/>
  </c:chart>
  <c:spPr>
    <a:solidFill>
      <a:schemeClr val="bg1"/>
    </a:solidFill>
    <a:ln w="19050" cap="flat" cmpd="sng" algn="ctr">
      <a:solidFill>
        <a:schemeClr val="tx2"/>
      </a:solidFill>
      <a:prstDash val="solid"/>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withinLinear" id="16">
  <a:schemeClr val="accent3"/>
</cs:colorStyle>
</file>

<file path=xl/charts/colors19.xml><?xml version="1.0" encoding="utf-8"?>
<cs:colorStyle xmlns:cs="http://schemas.microsoft.com/office/drawing/2012/chartStyle" xmlns:a="http://schemas.openxmlformats.org/drawingml/2006/main" meth="withinLinear" id="16">
  <a:schemeClr val="accent3"/>
</cs:colorStyle>
</file>

<file path=xl/charts/colors20.xml><?xml version="1.0" encoding="utf-8"?>
<cs:colorStyle xmlns:cs="http://schemas.microsoft.com/office/drawing/2012/chartStyle" xmlns:a="http://schemas.openxmlformats.org/drawingml/2006/main" meth="withinLinear" id="16">
  <a:schemeClr val="accent3"/>
</cs:colorStyle>
</file>

<file path=xl/charts/colors21.xml><?xml version="1.0" encoding="utf-8"?>
<cs:colorStyle xmlns:cs="http://schemas.microsoft.com/office/drawing/2012/chartStyle" xmlns:a="http://schemas.openxmlformats.org/drawingml/2006/main" meth="withinLinear" id="16">
  <a:schemeClr val="accent3"/>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9.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0.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3.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4.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5.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6.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7.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8.xml><?xml version="1.0" encoding="utf-8"?>
<cs:chartStyle xmlns:cs="http://schemas.microsoft.com/office/drawing/2012/chartStyle" xmlns:a="http://schemas.openxmlformats.org/drawingml/2006/main" id="263">
  <cs:axisTitle>
    <cs:lnRef idx="0"/>
    <cs:fillRef idx="0"/>
    <cs:effectRef idx="0"/>
    <cs:fontRef idx="minor">
      <a:schemeClr val="tx1">
        <a:lumMod val="50000"/>
        <a:lumOff val="50000"/>
      </a:schemeClr>
    </cs:fontRef>
    <cs:defRPr sz="900" kern="1200"/>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8100" tIns="19050" rIns="38100" bIns="19050" anchor="ctr" anchorCtr="1">
      <a:spAutoFit/>
    </cs:bodyPr>
  </cs:dataLabel>
  <cs:dataLabelCallout>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alpha val="70000"/>
        </a:schemeClr>
      </a:solidFill>
    </cs:spPr>
  </cs:dataPoint>
  <cs:dataPoint3D>
    <cs:lnRef idx="0">
      <cs:styleClr val="auto"/>
    </cs:lnRef>
    <cs:fillRef idx="0">
      <cs:styleClr val="auto"/>
    </cs:fillRef>
    <cs:effectRef idx="0">
      <cs:styleClr val="auto"/>
    </cs:effectRef>
    <cs:fontRef idx="minor">
      <a:schemeClr val="tx1"/>
    </cs:fontRef>
    <cs:spPr>
      <a:solidFill>
        <a:schemeClr val="phClr">
          <a:alpha val="90000"/>
        </a:schemeClr>
      </a:solidFill>
      <a:ln w="19050">
        <a:solidFill>
          <a:schemeClr val="phClr">
            <a:lumMod val="75000"/>
          </a:schemeClr>
        </a:solidFill>
      </a:ln>
      <a:effectLst>
        <a:innerShdw blurRad="114300">
          <a:schemeClr val="phClr">
            <a:lumMod val="75000"/>
          </a:schemeClr>
        </a:innerShdw>
      </a:effectLst>
      <a:scene3d>
        <a:camera prst="orthographicFront"/>
        <a:lightRig rig="threePt" dir="t"/>
      </a:scene3d>
      <a:sp3d contourW="19050" prstMaterial="flat">
        <a:contourClr>
          <a:schemeClr val="accent4">
            <a:lumMod val="75000"/>
          </a:schemeClr>
        </a:contourClr>
      </a:sp3d>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19.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20.xml><?xml version="1.0" encoding="utf-8"?>
<cs:chartStyle xmlns:cs="http://schemas.microsoft.com/office/drawing/2012/chartStyle" xmlns:a="http://schemas.openxmlformats.org/drawingml/2006/main" id="113">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1">
      <a:schemeClr val="lt1"/>
    </cs:lnRef>
    <cs:fillRef idx="1">
      <cs:styleClr val="auto"/>
    </cs:fillRef>
    <cs:effectRef idx="1">
      <a:schemeClr val="dk1"/>
    </cs:effectRef>
    <cs:fontRef idx="minor">
      <a:schemeClr val="tx1"/>
    </cs:fontRef>
    <cs:spPr>
      <a:ln>
        <a:round/>
      </a:ln>
    </cs:spPr>
  </cs:dataPoint>
  <cs:dataPoint3D>
    <cs:lnRef idx="1">
      <a:schemeClr val="lt1"/>
    </cs:lnRef>
    <cs:fillRef idx="1">
      <cs:styleClr val="auto"/>
    </cs:fillRef>
    <cs:effectRef idx="1">
      <a:schemeClr val="dk1"/>
    </cs:effectRef>
    <cs:fontRef idx="minor">
      <a:schemeClr val="tx1"/>
    </cs:fontRef>
    <cs:spPr>
      <a:ln>
        <a:round/>
      </a:ln>
    </cs:spPr>
  </cs:dataPoint3D>
  <cs:dataPointLine>
    <cs:lnRef idx="1">
      <cs:styleClr val="auto"/>
    </cs:lnRef>
    <cs:lineWidthScale>5</cs:lineWidthScale>
    <cs:fillRef idx="0"/>
    <cs:effectRef idx="0"/>
    <cs:fontRef idx="minor">
      <a:schemeClr val="tx1"/>
    </cs:fontRef>
    <cs:spPr>
      <a:ln cap="rnd">
        <a:round/>
      </a:ln>
    </cs:spPr>
  </cs:dataPointLine>
  <cs:dataPointMarker>
    <cs:lnRef idx="1">
      <cs:styleClr val="auto"/>
    </cs:lnRef>
    <cs:fillRef idx="1">
      <cs:styleClr val="auto"/>
    </cs:fillRef>
    <cs:effectRef idx="1">
      <a:schemeClr val="dk1"/>
    </cs:effectRef>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mods="ignoreCSTransforms">
      <cs:styleClr val="0">
        <a:shade val="25000"/>
      </cs:styleClr>
    </cs:fillRef>
    <cs:effectRef idx="1">
      <a:schemeClr val="dk1"/>
    </cs:effectRef>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mods="ignoreCSTransforms">
      <cs:styleClr val="0">
        <a:tint val="25000"/>
      </cs:styleClr>
    </cs:fillRef>
    <cs:effectRef idx="1">
      <a:schemeClr val="dk1"/>
    </cs:effectRef>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21.xml><?xml version="1.0" encoding="utf-8"?>
<cs:chartStyle xmlns:cs="http://schemas.microsoft.com/office/drawing/2012/chartStyle" xmlns:a="http://schemas.openxmlformats.org/drawingml/2006/main" id="113">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1">
      <a:schemeClr val="lt1"/>
    </cs:lnRef>
    <cs:fillRef idx="1">
      <cs:styleClr val="auto"/>
    </cs:fillRef>
    <cs:effectRef idx="1">
      <a:schemeClr val="dk1"/>
    </cs:effectRef>
    <cs:fontRef idx="minor">
      <a:schemeClr val="tx1"/>
    </cs:fontRef>
    <cs:spPr>
      <a:ln>
        <a:round/>
      </a:ln>
    </cs:spPr>
  </cs:dataPoint>
  <cs:dataPoint3D>
    <cs:lnRef idx="1">
      <a:schemeClr val="lt1"/>
    </cs:lnRef>
    <cs:fillRef idx="1">
      <cs:styleClr val="auto"/>
    </cs:fillRef>
    <cs:effectRef idx="1">
      <a:schemeClr val="dk1"/>
    </cs:effectRef>
    <cs:fontRef idx="minor">
      <a:schemeClr val="tx1"/>
    </cs:fontRef>
    <cs:spPr>
      <a:ln>
        <a:round/>
      </a:ln>
    </cs:spPr>
  </cs:dataPoint3D>
  <cs:dataPointLine>
    <cs:lnRef idx="1">
      <cs:styleClr val="auto"/>
    </cs:lnRef>
    <cs:lineWidthScale>5</cs:lineWidthScale>
    <cs:fillRef idx="0"/>
    <cs:effectRef idx="0"/>
    <cs:fontRef idx="minor">
      <a:schemeClr val="tx1"/>
    </cs:fontRef>
    <cs:spPr>
      <a:ln cap="rnd">
        <a:round/>
      </a:ln>
    </cs:spPr>
  </cs:dataPointLine>
  <cs:dataPointMarker>
    <cs:lnRef idx="1">
      <cs:styleClr val="auto"/>
    </cs:lnRef>
    <cs:fillRef idx="1">
      <cs:styleClr val="auto"/>
    </cs:fillRef>
    <cs:effectRef idx="1">
      <a:schemeClr val="dk1"/>
    </cs:effectRef>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mods="ignoreCSTransforms">
      <cs:styleClr val="0">
        <a:shade val="25000"/>
      </cs:styleClr>
    </cs:fillRef>
    <cs:effectRef idx="1">
      <a:schemeClr val="dk1"/>
    </cs:effectRef>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mods="ignoreCSTransforms">
      <cs:styleClr val="0">
        <a:tint val="25000"/>
      </cs:styleClr>
    </cs:fillRef>
    <cs:effectRef idx="1">
      <a:schemeClr val="dk1"/>
    </cs:effectRef>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22.xml><?xml version="1.0" encoding="utf-8"?>
<cs:chartStyle xmlns:cs="http://schemas.microsoft.com/office/drawing/2012/chartStyle" xmlns:a="http://schemas.openxmlformats.org/drawingml/2006/main" id="263">
  <cs:axisTitle>
    <cs:lnRef idx="0"/>
    <cs:fillRef idx="0"/>
    <cs:effectRef idx="0"/>
    <cs:fontRef idx="minor">
      <a:schemeClr val="tx1">
        <a:lumMod val="50000"/>
        <a:lumOff val="50000"/>
      </a:schemeClr>
    </cs:fontRef>
    <cs:defRPr sz="900" kern="1200"/>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8100" tIns="19050" rIns="38100" bIns="19050" anchor="ctr" anchorCtr="1">
      <a:spAutoFit/>
    </cs:bodyPr>
  </cs:dataLabel>
  <cs:dataLabelCallout>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alpha val="70000"/>
        </a:schemeClr>
      </a:solidFill>
    </cs:spPr>
  </cs:dataPoint>
  <cs:dataPoint3D>
    <cs:lnRef idx="0">
      <cs:styleClr val="auto"/>
    </cs:lnRef>
    <cs:fillRef idx="0">
      <cs:styleClr val="auto"/>
    </cs:fillRef>
    <cs:effectRef idx="0">
      <cs:styleClr val="auto"/>
    </cs:effectRef>
    <cs:fontRef idx="minor">
      <a:schemeClr val="tx1"/>
    </cs:fontRef>
    <cs:spPr>
      <a:solidFill>
        <a:schemeClr val="phClr">
          <a:alpha val="90000"/>
        </a:schemeClr>
      </a:solidFill>
      <a:ln w="19050">
        <a:solidFill>
          <a:schemeClr val="phClr">
            <a:lumMod val="75000"/>
          </a:schemeClr>
        </a:solidFill>
      </a:ln>
      <a:effectLst>
        <a:innerShdw blurRad="114300">
          <a:schemeClr val="phClr">
            <a:lumMod val="75000"/>
          </a:schemeClr>
        </a:innerShdw>
      </a:effectLst>
      <a:scene3d>
        <a:camera prst="orthographicFront"/>
        <a:lightRig rig="threePt" dir="t"/>
      </a:scene3d>
      <a:sp3d contourW="19050" prstMaterial="flat">
        <a:contourClr>
          <a:schemeClr val="accent4">
            <a:lumMod val="75000"/>
          </a:schemeClr>
        </a:contourClr>
      </a:sp3d>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23.xml><?xml version="1.0" encoding="utf-8"?>
<cs:chartStyle xmlns:cs="http://schemas.microsoft.com/office/drawing/2012/chartStyle" xmlns:a="http://schemas.openxmlformats.org/drawingml/2006/main" id="263">
  <cs:axisTitle>
    <cs:lnRef idx="0"/>
    <cs:fillRef idx="0"/>
    <cs:effectRef idx="0"/>
    <cs:fontRef idx="minor">
      <a:schemeClr val="tx1">
        <a:lumMod val="50000"/>
        <a:lumOff val="50000"/>
      </a:schemeClr>
    </cs:fontRef>
    <cs:defRPr sz="900" kern="1200"/>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8100" tIns="19050" rIns="38100" bIns="19050" anchor="ctr" anchorCtr="1">
      <a:spAutoFit/>
    </cs:bodyPr>
  </cs:dataLabel>
  <cs:dataLabelCallout>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alpha val="70000"/>
        </a:schemeClr>
      </a:solidFill>
    </cs:spPr>
  </cs:dataPoint>
  <cs:dataPoint3D>
    <cs:lnRef idx="0">
      <cs:styleClr val="auto"/>
    </cs:lnRef>
    <cs:fillRef idx="0">
      <cs:styleClr val="auto"/>
    </cs:fillRef>
    <cs:effectRef idx="0">
      <cs:styleClr val="auto"/>
    </cs:effectRef>
    <cs:fontRef idx="minor">
      <a:schemeClr val="tx1"/>
    </cs:fontRef>
    <cs:spPr>
      <a:solidFill>
        <a:schemeClr val="phClr">
          <a:alpha val="90000"/>
        </a:schemeClr>
      </a:solidFill>
      <a:ln w="19050">
        <a:solidFill>
          <a:schemeClr val="phClr">
            <a:lumMod val="75000"/>
          </a:schemeClr>
        </a:solidFill>
      </a:ln>
      <a:effectLst>
        <a:innerShdw blurRad="114300">
          <a:schemeClr val="phClr">
            <a:lumMod val="75000"/>
          </a:schemeClr>
        </a:innerShdw>
      </a:effectLst>
      <a:scene3d>
        <a:camera prst="orthographicFront"/>
        <a:lightRig rig="threePt" dir="t"/>
      </a:scene3d>
      <a:sp3d contourW="19050" prstMaterial="flat">
        <a:contourClr>
          <a:schemeClr val="accent4">
            <a:lumMod val="75000"/>
          </a:schemeClr>
        </a:contourClr>
      </a:sp3d>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24.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hyperlink" Target="#'9'!A1"/><Relationship Id="rId3" Type="http://schemas.openxmlformats.org/officeDocument/2006/relationships/hyperlink" Target="#'2'!A1"/><Relationship Id="rId7" Type="http://schemas.openxmlformats.org/officeDocument/2006/relationships/hyperlink" Target="#'8'!A1"/><Relationship Id="rId12" Type="http://schemas.openxmlformats.org/officeDocument/2006/relationships/hyperlink" Target="#'0'!A1"/><Relationship Id="rId2" Type="http://schemas.openxmlformats.org/officeDocument/2006/relationships/chart" Target="../charts/chart1.xml"/><Relationship Id="rId1" Type="http://schemas.openxmlformats.org/officeDocument/2006/relationships/image" Target="../media/image2.png"/><Relationship Id="rId6" Type="http://schemas.openxmlformats.org/officeDocument/2006/relationships/hyperlink" Target="#'6'!A1"/><Relationship Id="rId11" Type="http://schemas.openxmlformats.org/officeDocument/2006/relationships/hyperlink" Target="#'Roter Faden'!A1"/><Relationship Id="rId5" Type="http://schemas.openxmlformats.org/officeDocument/2006/relationships/hyperlink" Target="#'4'!A1"/><Relationship Id="rId10" Type="http://schemas.openxmlformats.org/officeDocument/2006/relationships/hyperlink" Target="#'1'!A1"/><Relationship Id="rId4" Type="http://schemas.openxmlformats.org/officeDocument/2006/relationships/hyperlink" Target="#'3'!A1"/><Relationship Id="rId9" Type="http://schemas.openxmlformats.org/officeDocument/2006/relationships/hyperlink" Target="#'13'!A1"/></Relationships>
</file>

<file path=xl/drawings/_rels/drawing3.xml.rels><?xml version="1.0" encoding="UTF-8" standalone="yes"?>
<Relationships xmlns="http://schemas.openxmlformats.org/package/2006/relationships"><Relationship Id="rId8" Type="http://schemas.openxmlformats.org/officeDocument/2006/relationships/hyperlink" Target="#'9'!A1"/><Relationship Id="rId3" Type="http://schemas.openxmlformats.org/officeDocument/2006/relationships/hyperlink" Target="#'2'!A1"/><Relationship Id="rId7" Type="http://schemas.openxmlformats.org/officeDocument/2006/relationships/hyperlink" Target="#'8'!A1"/><Relationship Id="rId2" Type="http://schemas.openxmlformats.org/officeDocument/2006/relationships/chart" Target="../charts/chart2.xml"/><Relationship Id="rId1" Type="http://schemas.openxmlformats.org/officeDocument/2006/relationships/image" Target="../media/image2.png"/><Relationship Id="rId6" Type="http://schemas.openxmlformats.org/officeDocument/2006/relationships/hyperlink" Target="#'6'!A1"/><Relationship Id="rId11" Type="http://schemas.openxmlformats.org/officeDocument/2006/relationships/hyperlink" Target="#'Roter Faden'!A1"/><Relationship Id="rId5" Type="http://schemas.openxmlformats.org/officeDocument/2006/relationships/hyperlink" Target="#'4'!A1"/><Relationship Id="rId10" Type="http://schemas.openxmlformats.org/officeDocument/2006/relationships/hyperlink" Target="#'1'!A1"/><Relationship Id="rId4" Type="http://schemas.openxmlformats.org/officeDocument/2006/relationships/hyperlink" Target="#'3'!A1"/><Relationship Id="rId9" Type="http://schemas.openxmlformats.org/officeDocument/2006/relationships/hyperlink" Target="#'13'!A1"/></Relationships>
</file>

<file path=xl/drawings/_rels/drawing4.xml.rels><?xml version="1.0" encoding="UTF-8" standalone="yes"?>
<Relationships xmlns="http://schemas.openxmlformats.org/package/2006/relationships"><Relationship Id="rId8" Type="http://schemas.openxmlformats.org/officeDocument/2006/relationships/hyperlink" Target="#'6'!A1"/><Relationship Id="rId13" Type="http://schemas.openxmlformats.org/officeDocument/2006/relationships/hyperlink" Target="#'Roter Faden'!A1"/><Relationship Id="rId3" Type="http://schemas.openxmlformats.org/officeDocument/2006/relationships/image" Target="../media/image3.png"/><Relationship Id="rId7" Type="http://schemas.openxmlformats.org/officeDocument/2006/relationships/hyperlink" Target="#'4'!A1"/><Relationship Id="rId12" Type="http://schemas.openxmlformats.org/officeDocument/2006/relationships/hyperlink" Target="#'1'!A1"/><Relationship Id="rId2" Type="http://schemas.openxmlformats.org/officeDocument/2006/relationships/chart" Target="../charts/chart3.xml"/><Relationship Id="rId1" Type="http://schemas.openxmlformats.org/officeDocument/2006/relationships/image" Target="../media/image2.png"/><Relationship Id="rId6" Type="http://schemas.openxmlformats.org/officeDocument/2006/relationships/hyperlink" Target="#'3'!A1"/><Relationship Id="rId11" Type="http://schemas.openxmlformats.org/officeDocument/2006/relationships/hyperlink" Target="#'13'!A1"/><Relationship Id="rId5" Type="http://schemas.openxmlformats.org/officeDocument/2006/relationships/hyperlink" Target="#'0'!A1"/><Relationship Id="rId10" Type="http://schemas.openxmlformats.org/officeDocument/2006/relationships/hyperlink" Target="#'9'!A1"/><Relationship Id="rId4" Type="http://schemas.openxmlformats.org/officeDocument/2006/relationships/hyperlink" Target="#'2'!A1"/><Relationship Id="rId9" Type="http://schemas.openxmlformats.org/officeDocument/2006/relationships/hyperlink" Target="#'8'!A1"/></Relationships>
</file>

<file path=xl/drawings/_rels/drawing5.xml.rels><?xml version="1.0" encoding="UTF-8" standalone="yes"?>
<Relationships xmlns="http://schemas.openxmlformats.org/package/2006/relationships"><Relationship Id="rId8" Type="http://schemas.openxmlformats.org/officeDocument/2006/relationships/hyperlink" Target="#'8'!A1"/><Relationship Id="rId3" Type="http://schemas.openxmlformats.org/officeDocument/2006/relationships/hyperlink" Target="#'3'!A1"/><Relationship Id="rId7" Type="http://schemas.openxmlformats.org/officeDocument/2006/relationships/hyperlink" Target="#'6'!A1"/><Relationship Id="rId2" Type="http://schemas.openxmlformats.org/officeDocument/2006/relationships/chart" Target="../charts/chart4.xml"/><Relationship Id="rId1" Type="http://schemas.openxmlformats.org/officeDocument/2006/relationships/image" Target="../media/image2.png"/><Relationship Id="rId6" Type="http://schemas.openxmlformats.org/officeDocument/2006/relationships/hyperlink" Target="#'4'!A1"/><Relationship Id="rId11" Type="http://schemas.openxmlformats.org/officeDocument/2006/relationships/hyperlink" Target="#'Roter Faden'!A1"/><Relationship Id="rId5" Type="http://schemas.openxmlformats.org/officeDocument/2006/relationships/hyperlink" Target="#'2'!A1"/><Relationship Id="rId10" Type="http://schemas.openxmlformats.org/officeDocument/2006/relationships/hyperlink" Target="#'13'!A1"/><Relationship Id="rId4" Type="http://schemas.openxmlformats.org/officeDocument/2006/relationships/hyperlink" Target="#'1'!A1"/><Relationship Id="rId9" Type="http://schemas.openxmlformats.org/officeDocument/2006/relationships/hyperlink" Target="#'9'!A1"/></Relationships>
</file>

<file path=xl/drawings/_rels/drawing6.xml.rels><?xml version="1.0" encoding="UTF-8" standalone="yes"?>
<Relationships xmlns="http://schemas.openxmlformats.org/package/2006/relationships"><Relationship Id="rId8" Type="http://schemas.openxmlformats.org/officeDocument/2006/relationships/hyperlink" Target="#'9'!A1"/><Relationship Id="rId3" Type="http://schemas.openxmlformats.org/officeDocument/2006/relationships/hyperlink" Target="#'4'!A1"/><Relationship Id="rId7" Type="http://schemas.openxmlformats.org/officeDocument/2006/relationships/hyperlink" Target="#'8'!A1"/><Relationship Id="rId2" Type="http://schemas.openxmlformats.org/officeDocument/2006/relationships/chart" Target="../charts/chart5.xml"/><Relationship Id="rId1" Type="http://schemas.openxmlformats.org/officeDocument/2006/relationships/image" Target="../media/image2.png"/><Relationship Id="rId6" Type="http://schemas.openxmlformats.org/officeDocument/2006/relationships/hyperlink" Target="#'6'!A1"/><Relationship Id="rId11" Type="http://schemas.openxmlformats.org/officeDocument/2006/relationships/hyperlink" Target="#'Roter Faden'!A1"/><Relationship Id="rId5" Type="http://schemas.openxmlformats.org/officeDocument/2006/relationships/hyperlink" Target="#'3'!A1"/><Relationship Id="rId10" Type="http://schemas.openxmlformats.org/officeDocument/2006/relationships/hyperlink" Target="#'1'!A1"/><Relationship Id="rId4" Type="http://schemas.openxmlformats.org/officeDocument/2006/relationships/hyperlink" Target="#'2'!A1"/><Relationship Id="rId9" Type="http://schemas.openxmlformats.org/officeDocument/2006/relationships/hyperlink" Target="#'13'!A1"/></Relationships>
</file>

<file path=xl/drawings/_rels/drawing7.xml.rels><?xml version="1.0" encoding="UTF-8" standalone="yes"?>
<Relationships xmlns="http://schemas.openxmlformats.org/package/2006/relationships"><Relationship Id="rId8" Type="http://schemas.openxmlformats.org/officeDocument/2006/relationships/hyperlink" Target="#'8'!A1"/><Relationship Id="rId13" Type="http://schemas.openxmlformats.org/officeDocument/2006/relationships/hyperlink" Target="https://www.immocation.de/ebook-gebrauchsanleitung-wohnungskauf?utm_source=tools&amp;utm_campaign=kalkulation&amp;utm_term=ebook" TargetMode="External"/><Relationship Id="rId3" Type="http://schemas.openxmlformats.org/officeDocument/2006/relationships/hyperlink" Target="#'5'!A1"/><Relationship Id="rId7" Type="http://schemas.openxmlformats.org/officeDocument/2006/relationships/hyperlink" Target="#'6'!A1"/><Relationship Id="rId12" Type="http://schemas.openxmlformats.org/officeDocument/2006/relationships/hyperlink" Target="#'Roter Faden'!A1"/><Relationship Id="rId2" Type="http://schemas.openxmlformats.org/officeDocument/2006/relationships/chart" Target="../charts/chart6.xml"/><Relationship Id="rId1" Type="http://schemas.openxmlformats.org/officeDocument/2006/relationships/image" Target="../media/image2.png"/><Relationship Id="rId6" Type="http://schemas.openxmlformats.org/officeDocument/2006/relationships/hyperlink" Target="#'4'!A1"/><Relationship Id="rId11" Type="http://schemas.openxmlformats.org/officeDocument/2006/relationships/hyperlink" Target="#'1'!A1"/><Relationship Id="rId5" Type="http://schemas.openxmlformats.org/officeDocument/2006/relationships/hyperlink" Target="#'2'!A1"/><Relationship Id="rId10" Type="http://schemas.openxmlformats.org/officeDocument/2006/relationships/hyperlink" Target="#'13'!A1"/><Relationship Id="rId4" Type="http://schemas.openxmlformats.org/officeDocument/2006/relationships/hyperlink" Target="#'3'!A1"/><Relationship Id="rId9" Type="http://schemas.openxmlformats.org/officeDocument/2006/relationships/hyperlink" Target="#'9'!A1"/></Relationships>
</file>

<file path=xl/drawings/_rels/drawing8.xml.rels><?xml version="1.0" encoding="UTF-8" standalone="yes"?>
<Relationships xmlns="http://schemas.openxmlformats.org/package/2006/relationships"><Relationship Id="rId8" Type="http://schemas.openxmlformats.org/officeDocument/2006/relationships/hyperlink" Target="#'8'!A1"/><Relationship Id="rId13" Type="http://schemas.openxmlformats.org/officeDocument/2006/relationships/image" Target="../media/image4.emf"/><Relationship Id="rId3" Type="http://schemas.openxmlformats.org/officeDocument/2006/relationships/hyperlink" Target="#'6'!A1"/><Relationship Id="rId7" Type="http://schemas.openxmlformats.org/officeDocument/2006/relationships/hyperlink" Target="#'3'!A1"/><Relationship Id="rId12" Type="http://schemas.openxmlformats.org/officeDocument/2006/relationships/hyperlink" Target="#'Roter Faden'!A1"/><Relationship Id="rId2" Type="http://schemas.openxmlformats.org/officeDocument/2006/relationships/chart" Target="../charts/chart7.xml"/><Relationship Id="rId1" Type="http://schemas.openxmlformats.org/officeDocument/2006/relationships/image" Target="../media/image2.png"/><Relationship Id="rId6" Type="http://schemas.openxmlformats.org/officeDocument/2006/relationships/hyperlink" Target="#'2'!A1"/><Relationship Id="rId11" Type="http://schemas.openxmlformats.org/officeDocument/2006/relationships/hyperlink" Target="#'1'!A1"/><Relationship Id="rId5" Type="http://schemas.openxmlformats.org/officeDocument/2006/relationships/image" Target="../media/image3.png"/><Relationship Id="rId10" Type="http://schemas.openxmlformats.org/officeDocument/2006/relationships/hyperlink" Target="#'13'!A1"/><Relationship Id="rId4" Type="http://schemas.openxmlformats.org/officeDocument/2006/relationships/hyperlink" Target="#'4'!A1"/><Relationship Id="rId9" Type="http://schemas.openxmlformats.org/officeDocument/2006/relationships/hyperlink" Target="#'9'!A1"/><Relationship Id="rId14" Type="http://schemas.openxmlformats.org/officeDocument/2006/relationships/image" Target="../media/image5.emf"/></Relationships>
</file>

<file path=xl/drawings/_rels/drawing9.xml.rels><?xml version="1.0" encoding="UTF-8" standalone="yes"?>
<Relationships xmlns="http://schemas.openxmlformats.org/package/2006/relationships"><Relationship Id="rId8" Type="http://schemas.openxmlformats.org/officeDocument/2006/relationships/hyperlink" Target="#'6'!A1"/><Relationship Id="rId13" Type="http://schemas.openxmlformats.org/officeDocument/2006/relationships/hyperlink" Target="#'Roter Faden'!A1"/><Relationship Id="rId3" Type="http://schemas.openxmlformats.org/officeDocument/2006/relationships/hyperlink" Target="#'7'!A1"/><Relationship Id="rId7" Type="http://schemas.openxmlformats.org/officeDocument/2006/relationships/hyperlink" Target="#'4'!A1"/><Relationship Id="rId12" Type="http://schemas.openxmlformats.org/officeDocument/2006/relationships/hyperlink" Target="#'1'!A1"/><Relationship Id="rId2" Type="http://schemas.openxmlformats.org/officeDocument/2006/relationships/chart" Target="../charts/chart8.xml"/><Relationship Id="rId1" Type="http://schemas.openxmlformats.org/officeDocument/2006/relationships/image" Target="../media/image2.png"/><Relationship Id="rId6" Type="http://schemas.openxmlformats.org/officeDocument/2006/relationships/hyperlink" Target="#'3'!A1"/><Relationship Id="rId11" Type="http://schemas.openxmlformats.org/officeDocument/2006/relationships/hyperlink" Target="#'13'!A1"/><Relationship Id="rId5" Type="http://schemas.openxmlformats.org/officeDocument/2006/relationships/hyperlink" Target="#'2'!A1"/><Relationship Id="rId10" Type="http://schemas.openxmlformats.org/officeDocument/2006/relationships/hyperlink" Target="#'9'!A1"/><Relationship Id="rId4" Type="http://schemas.openxmlformats.org/officeDocument/2006/relationships/hyperlink" Target="#'5'!A1"/><Relationship Id="rId9" Type="http://schemas.openxmlformats.org/officeDocument/2006/relationships/hyperlink" Target="#'8'!A1"/><Relationship Id="rId14" Type="http://schemas.openxmlformats.org/officeDocument/2006/relationships/hyperlink" Target="https://www.immocation.de/ebook-gebrauchsanleitung-wohnungskauf?utm_source=tools&amp;utm_campaign=kalkulation&amp;utm_term=ebook" TargetMode="External"/></Relationships>
</file>

<file path=xl/drawings/_rels/drawing10.xml.rels><?xml version="1.0" encoding="UTF-8" standalone="yes"?>
<Relationships xmlns="http://schemas.openxmlformats.org/package/2006/relationships"><Relationship Id="rId8" Type="http://schemas.openxmlformats.org/officeDocument/2006/relationships/hyperlink" Target="#'4'!A1"/><Relationship Id="rId3" Type="http://schemas.openxmlformats.org/officeDocument/2006/relationships/chart" Target="../charts/chart9.xml"/><Relationship Id="rId7" Type="http://schemas.openxmlformats.org/officeDocument/2006/relationships/hyperlink" Target="#'3'!A1"/><Relationship Id="rId12" Type="http://schemas.openxmlformats.org/officeDocument/2006/relationships/hyperlink" Target="#'Roter Faden'!A1"/><Relationship Id="rId2" Type="http://schemas.openxmlformats.org/officeDocument/2006/relationships/image" Target="../media/image2.png"/><Relationship Id="rId1" Type="http://schemas.openxmlformats.org/officeDocument/2006/relationships/image" Target="../media/image8.emf"/><Relationship Id="rId6" Type="http://schemas.openxmlformats.org/officeDocument/2006/relationships/hyperlink" Target="#'2'!A1"/><Relationship Id="rId11" Type="http://schemas.openxmlformats.org/officeDocument/2006/relationships/hyperlink" Target="#'1'!A1"/><Relationship Id="rId5" Type="http://schemas.openxmlformats.org/officeDocument/2006/relationships/hyperlink" Target="#'6'!A1"/><Relationship Id="rId10" Type="http://schemas.openxmlformats.org/officeDocument/2006/relationships/hyperlink" Target="#'13'!A1"/><Relationship Id="rId4" Type="http://schemas.openxmlformats.org/officeDocument/2006/relationships/hyperlink" Target="#'8'!A1"/><Relationship Id="rId9" Type="http://schemas.openxmlformats.org/officeDocument/2006/relationships/hyperlink" Target="#'9'!A1"/></Relationships>
</file>

<file path=xl/drawings/_rels/drawing11.xml.rels><?xml version="1.0" encoding="UTF-8" standalone="yes"?>
<Relationships xmlns="http://schemas.openxmlformats.org/package/2006/relationships"><Relationship Id="rId8" Type="http://schemas.openxmlformats.org/officeDocument/2006/relationships/hyperlink" Target="#'3'!A1"/><Relationship Id="rId13" Type="http://schemas.openxmlformats.org/officeDocument/2006/relationships/hyperlink" Target="#'1'!A1"/><Relationship Id="rId3" Type="http://schemas.openxmlformats.org/officeDocument/2006/relationships/chart" Target="../charts/chart10.xml"/><Relationship Id="rId7" Type="http://schemas.openxmlformats.org/officeDocument/2006/relationships/hyperlink" Target="#'2'!A1"/><Relationship Id="rId12" Type="http://schemas.openxmlformats.org/officeDocument/2006/relationships/hyperlink" Target="#'13'!A1"/><Relationship Id="rId2" Type="http://schemas.openxmlformats.org/officeDocument/2006/relationships/image" Target="../media/image2.png"/><Relationship Id="rId1" Type="http://schemas.openxmlformats.org/officeDocument/2006/relationships/image" Target="../media/image10.emf"/><Relationship Id="rId6" Type="http://schemas.openxmlformats.org/officeDocument/2006/relationships/hyperlink" Target="#'7'!A1"/><Relationship Id="rId11" Type="http://schemas.openxmlformats.org/officeDocument/2006/relationships/hyperlink" Target="#'8'!A1"/><Relationship Id="rId5" Type="http://schemas.openxmlformats.org/officeDocument/2006/relationships/hyperlink" Target="#'9'!A1"/><Relationship Id="rId15" Type="http://schemas.openxmlformats.org/officeDocument/2006/relationships/image" Target="../media/image11.png"/><Relationship Id="rId10" Type="http://schemas.openxmlformats.org/officeDocument/2006/relationships/hyperlink" Target="#'6'!A1"/><Relationship Id="rId4" Type="http://schemas.openxmlformats.org/officeDocument/2006/relationships/image" Target="../media/image3.png"/><Relationship Id="rId9" Type="http://schemas.openxmlformats.org/officeDocument/2006/relationships/hyperlink" Target="#'4'!A1"/><Relationship Id="rId14" Type="http://schemas.openxmlformats.org/officeDocument/2006/relationships/hyperlink" Target="#'Roter Faden'!A1"/></Relationships>
</file>

<file path=xl/drawings/_rels/drawing12.xml.rels><?xml version="1.0" encoding="UTF-8" standalone="yes"?>
<Relationships xmlns="http://schemas.openxmlformats.org/package/2006/relationships"><Relationship Id="rId8" Type="http://schemas.openxmlformats.org/officeDocument/2006/relationships/hyperlink" Target="#'6'!A1"/><Relationship Id="rId13" Type="http://schemas.openxmlformats.org/officeDocument/2006/relationships/image" Target="../media/image11.png"/><Relationship Id="rId3" Type="http://schemas.openxmlformats.org/officeDocument/2006/relationships/hyperlink" Target="#'10'!A1"/><Relationship Id="rId7" Type="http://schemas.openxmlformats.org/officeDocument/2006/relationships/hyperlink" Target="#'4'!A1"/><Relationship Id="rId12" Type="http://schemas.openxmlformats.org/officeDocument/2006/relationships/hyperlink" Target="#'Roter Faden'!A1"/><Relationship Id="rId2" Type="http://schemas.openxmlformats.org/officeDocument/2006/relationships/chart" Target="../charts/chart11.xml"/><Relationship Id="rId1" Type="http://schemas.openxmlformats.org/officeDocument/2006/relationships/image" Target="../media/image2.png"/><Relationship Id="rId6" Type="http://schemas.openxmlformats.org/officeDocument/2006/relationships/hyperlink" Target="#'3'!A1"/><Relationship Id="rId11" Type="http://schemas.openxmlformats.org/officeDocument/2006/relationships/hyperlink" Target="#'1'!A1"/><Relationship Id="rId5" Type="http://schemas.openxmlformats.org/officeDocument/2006/relationships/hyperlink" Target="#'2'!A1"/><Relationship Id="rId10" Type="http://schemas.openxmlformats.org/officeDocument/2006/relationships/hyperlink" Target="#'13'!A1"/><Relationship Id="rId4" Type="http://schemas.openxmlformats.org/officeDocument/2006/relationships/hyperlink" Target="#'8'!A1"/><Relationship Id="rId9" Type="http://schemas.openxmlformats.org/officeDocument/2006/relationships/hyperlink" Target="#'9'!A1"/><Relationship Id="rId14" Type="http://schemas.openxmlformats.org/officeDocument/2006/relationships/hyperlink" Target="https://www.immocation.de/ebook-gebrauchsanleitung-wohnungskauf?utm_source=tools&amp;utm_campaign=kalkulation&amp;utm_term=ebook" TargetMode="External"/></Relationships>
</file>

<file path=xl/drawings/_rels/drawing13.xml.rels><?xml version="1.0" encoding="UTF-8" standalone="yes"?>
<Relationships xmlns="http://schemas.openxmlformats.org/package/2006/relationships"><Relationship Id="rId8" Type="http://schemas.openxmlformats.org/officeDocument/2006/relationships/hyperlink" Target="#'2'!A1"/><Relationship Id="rId13" Type="http://schemas.openxmlformats.org/officeDocument/2006/relationships/hyperlink" Target="#'13'!A1"/><Relationship Id="rId3" Type="http://schemas.openxmlformats.org/officeDocument/2006/relationships/hyperlink" Target="#'11'!A1"/><Relationship Id="rId7" Type="http://schemas.openxmlformats.org/officeDocument/2006/relationships/image" Target="../media/image15.jpeg"/><Relationship Id="rId12" Type="http://schemas.openxmlformats.org/officeDocument/2006/relationships/hyperlink" Target="#'8'!A1"/><Relationship Id="rId2" Type="http://schemas.openxmlformats.org/officeDocument/2006/relationships/chart" Target="../charts/chart12.xml"/><Relationship Id="rId1" Type="http://schemas.openxmlformats.org/officeDocument/2006/relationships/image" Target="../media/image2.png"/><Relationship Id="rId6" Type="http://schemas.openxmlformats.org/officeDocument/2006/relationships/image" Target="../media/image14.jpeg"/><Relationship Id="rId11" Type="http://schemas.openxmlformats.org/officeDocument/2006/relationships/hyperlink" Target="#'6'!A1"/><Relationship Id="rId5" Type="http://schemas.openxmlformats.org/officeDocument/2006/relationships/image" Target="../media/image13.png"/><Relationship Id="rId15" Type="http://schemas.openxmlformats.org/officeDocument/2006/relationships/hyperlink" Target="#'Roter Faden'!A1"/><Relationship Id="rId10" Type="http://schemas.openxmlformats.org/officeDocument/2006/relationships/hyperlink" Target="#'4'!A1"/><Relationship Id="rId4" Type="http://schemas.openxmlformats.org/officeDocument/2006/relationships/hyperlink" Target="#'9'!A1"/><Relationship Id="rId9" Type="http://schemas.openxmlformats.org/officeDocument/2006/relationships/hyperlink" Target="#'3'!A1"/><Relationship Id="rId14" Type="http://schemas.openxmlformats.org/officeDocument/2006/relationships/hyperlink" Target="#'1'!A1"/></Relationships>
</file>

<file path=xl/drawings/_rels/drawing14.xml.rels><?xml version="1.0" encoding="UTF-8" standalone="yes"?>
<Relationships xmlns="http://schemas.openxmlformats.org/package/2006/relationships"><Relationship Id="rId8" Type="http://schemas.openxmlformats.org/officeDocument/2006/relationships/hyperlink" Target="#'4'!A1"/><Relationship Id="rId13" Type="http://schemas.openxmlformats.org/officeDocument/2006/relationships/hyperlink" Target="#'1'!A1"/><Relationship Id="rId3" Type="http://schemas.openxmlformats.org/officeDocument/2006/relationships/image" Target="../media/image3.png"/><Relationship Id="rId7" Type="http://schemas.openxmlformats.org/officeDocument/2006/relationships/hyperlink" Target="#'3'!A1"/><Relationship Id="rId12" Type="http://schemas.openxmlformats.org/officeDocument/2006/relationships/hyperlink" Target="#'13'!A1"/><Relationship Id="rId2" Type="http://schemas.openxmlformats.org/officeDocument/2006/relationships/chart" Target="../charts/chart13.xml"/><Relationship Id="rId1" Type="http://schemas.openxmlformats.org/officeDocument/2006/relationships/image" Target="../media/image2.png"/><Relationship Id="rId6" Type="http://schemas.openxmlformats.org/officeDocument/2006/relationships/hyperlink" Target="#'2'!A1"/><Relationship Id="rId11" Type="http://schemas.openxmlformats.org/officeDocument/2006/relationships/hyperlink" Target="#'9'!A1"/><Relationship Id="rId5" Type="http://schemas.openxmlformats.org/officeDocument/2006/relationships/hyperlink" Target="#'10'!A1"/><Relationship Id="rId10" Type="http://schemas.openxmlformats.org/officeDocument/2006/relationships/hyperlink" Target="#'8'!A1"/><Relationship Id="rId4" Type="http://schemas.openxmlformats.org/officeDocument/2006/relationships/hyperlink" Target="#'12'!A1"/><Relationship Id="rId9" Type="http://schemas.openxmlformats.org/officeDocument/2006/relationships/hyperlink" Target="#'6'!A1"/><Relationship Id="rId14" Type="http://schemas.openxmlformats.org/officeDocument/2006/relationships/hyperlink" Target="#'Roter Faden'!A1"/></Relationships>
</file>

<file path=xl/drawings/_rels/drawing15.xml.rels><?xml version="1.0" encoding="UTF-8" standalone="yes"?>
<Relationships xmlns="http://schemas.openxmlformats.org/package/2006/relationships"><Relationship Id="rId8" Type="http://schemas.openxmlformats.org/officeDocument/2006/relationships/hyperlink" Target="#'4'!A1"/><Relationship Id="rId13" Type="http://schemas.openxmlformats.org/officeDocument/2006/relationships/hyperlink" Target="#'Roter Faden'!A1"/><Relationship Id="rId3" Type="http://schemas.openxmlformats.org/officeDocument/2006/relationships/image" Target="../media/image3.png"/><Relationship Id="rId7" Type="http://schemas.openxmlformats.org/officeDocument/2006/relationships/hyperlink" Target="#'3'!A1"/><Relationship Id="rId12" Type="http://schemas.openxmlformats.org/officeDocument/2006/relationships/hyperlink" Target="#'1'!A1"/><Relationship Id="rId2" Type="http://schemas.openxmlformats.org/officeDocument/2006/relationships/chart" Target="../charts/chart14.xml"/><Relationship Id="rId1" Type="http://schemas.openxmlformats.org/officeDocument/2006/relationships/image" Target="../media/image2.png"/><Relationship Id="rId6" Type="http://schemas.openxmlformats.org/officeDocument/2006/relationships/hyperlink" Target="#'2'!A1"/><Relationship Id="rId11" Type="http://schemas.openxmlformats.org/officeDocument/2006/relationships/hyperlink" Target="#'9'!A1"/><Relationship Id="rId5" Type="http://schemas.openxmlformats.org/officeDocument/2006/relationships/hyperlink" Target="#'11'!A1"/><Relationship Id="rId10" Type="http://schemas.openxmlformats.org/officeDocument/2006/relationships/hyperlink" Target="#'8'!A1"/><Relationship Id="rId4" Type="http://schemas.openxmlformats.org/officeDocument/2006/relationships/hyperlink" Target="#'13'!A1"/><Relationship Id="rId9" Type="http://schemas.openxmlformats.org/officeDocument/2006/relationships/hyperlink" Target="#'6'!A1"/></Relationships>
</file>

<file path=xl/drawings/_rels/drawing16.xml.rels><?xml version="1.0" encoding="UTF-8" standalone="yes"?>
<Relationships xmlns="http://schemas.openxmlformats.org/package/2006/relationships"><Relationship Id="rId8" Type="http://schemas.openxmlformats.org/officeDocument/2006/relationships/hyperlink" Target="#'4'!A1"/><Relationship Id="rId13" Type="http://schemas.openxmlformats.org/officeDocument/2006/relationships/hyperlink" Target="#'1'!A1"/><Relationship Id="rId18" Type="http://schemas.openxmlformats.org/officeDocument/2006/relationships/image" Target="../media/image19.emf"/><Relationship Id="rId3" Type="http://schemas.openxmlformats.org/officeDocument/2006/relationships/chart" Target="../charts/chart15.xml"/><Relationship Id="rId21" Type="http://schemas.openxmlformats.org/officeDocument/2006/relationships/image" Target="../media/image20.png"/><Relationship Id="rId7" Type="http://schemas.openxmlformats.org/officeDocument/2006/relationships/hyperlink" Target="#'3'!A1"/><Relationship Id="rId12" Type="http://schemas.openxmlformats.org/officeDocument/2006/relationships/hyperlink" Target="#'13'!A1"/><Relationship Id="rId17" Type="http://schemas.openxmlformats.org/officeDocument/2006/relationships/image" Target="../media/image18.png"/><Relationship Id="rId2" Type="http://schemas.openxmlformats.org/officeDocument/2006/relationships/image" Target="../media/image2.png"/><Relationship Id="rId16" Type="http://schemas.openxmlformats.org/officeDocument/2006/relationships/image" Target="../media/image17.png"/><Relationship Id="rId20" Type="http://schemas.openxmlformats.org/officeDocument/2006/relationships/hyperlink" Target="https://www.facebook.com/dialog/feed?app_id=118494052219028&amp;display=page&amp;amp;&amp;link=https://www.immocation.de/kalkulation-teilen&amp;redirect_uri=https://www.immocation.de/kalkulation" TargetMode="External"/><Relationship Id="rId1" Type="http://schemas.openxmlformats.org/officeDocument/2006/relationships/image" Target="../media/image16.emf"/><Relationship Id="rId6" Type="http://schemas.openxmlformats.org/officeDocument/2006/relationships/hyperlink" Target="#'2'!A1"/><Relationship Id="rId11" Type="http://schemas.openxmlformats.org/officeDocument/2006/relationships/hyperlink" Target="#'9'!A1"/><Relationship Id="rId5" Type="http://schemas.openxmlformats.org/officeDocument/2006/relationships/hyperlink" Target="#'12'!A1"/><Relationship Id="rId15" Type="http://schemas.openxmlformats.org/officeDocument/2006/relationships/hyperlink" Target="https://www.immocation.de/ebook-gebrauchsanleitung-wohnungskauf?utm_source=tools&amp;utm_campaign=kalkulation&amp;utm_term=ebook" TargetMode="External"/><Relationship Id="rId10" Type="http://schemas.openxmlformats.org/officeDocument/2006/relationships/hyperlink" Target="#'8'!A1"/><Relationship Id="rId19" Type="http://schemas.openxmlformats.org/officeDocument/2006/relationships/image" Target="../media/image11.png"/><Relationship Id="rId4" Type="http://schemas.openxmlformats.org/officeDocument/2006/relationships/hyperlink" Target="#'14'!A1"/><Relationship Id="rId9" Type="http://schemas.openxmlformats.org/officeDocument/2006/relationships/hyperlink" Target="#'6'!A1"/><Relationship Id="rId14" Type="http://schemas.openxmlformats.org/officeDocument/2006/relationships/hyperlink" Target="#'Roter Faden'!A1"/></Relationships>
</file>

<file path=xl/drawings/_rels/drawing17.xml.rels><?xml version="1.0" encoding="UTF-8" standalone="yes"?>
<Relationships xmlns="http://schemas.openxmlformats.org/package/2006/relationships"><Relationship Id="rId8" Type="http://schemas.openxmlformats.org/officeDocument/2006/relationships/hyperlink" Target="#'6'!A1"/><Relationship Id="rId13" Type="http://schemas.openxmlformats.org/officeDocument/2006/relationships/image" Target="../media/image3.png"/><Relationship Id="rId3" Type="http://schemas.openxmlformats.org/officeDocument/2006/relationships/hyperlink" Target="#'15'!A1"/><Relationship Id="rId7" Type="http://schemas.openxmlformats.org/officeDocument/2006/relationships/hyperlink" Target="#'4'!A1"/><Relationship Id="rId12" Type="http://schemas.openxmlformats.org/officeDocument/2006/relationships/hyperlink" Target="#'Roter Faden'!A1"/><Relationship Id="rId2" Type="http://schemas.openxmlformats.org/officeDocument/2006/relationships/chart" Target="../charts/chart16.xml"/><Relationship Id="rId1" Type="http://schemas.openxmlformats.org/officeDocument/2006/relationships/image" Target="../media/image2.png"/><Relationship Id="rId6" Type="http://schemas.openxmlformats.org/officeDocument/2006/relationships/hyperlink" Target="#'3'!A1"/><Relationship Id="rId11" Type="http://schemas.openxmlformats.org/officeDocument/2006/relationships/hyperlink" Target="#'1'!A1"/><Relationship Id="rId5" Type="http://schemas.openxmlformats.org/officeDocument/2006/relationships/hyperlink" Target="#'2'!A1"/><Relationship Id="rId10" Type="http://schemas.openxmlformats.org/officeDocument/2006/relationships/hyperlink" Target="#'9'!A1"/><Relationship Id="rId4" Type="http://schemas.openxmlformats.org/officeDocument/2006/relationships/hyperlink" Target="#'13'!A1"/><Relationship Id="rId9" Type="http://schemas.openxmlformats.org/officeDocument/2006/relationships/hyperlink" Target="#'8'!A1"/></Relationships>
</file>

<file path=xl/drawings/_rels/drawing18.xml.rels><?xml version="1.0" encoding="UTF-8" standalone="yes"?>
<Relationships xmlns="http://schemas.openxmlformats.org/package/2006/relationships"><Relationship Id="rId8" Type="http://schemas.openxmlformats.org/officeDocument/2006/relationships/hyperlink" Target="#'4'!A1"/><Relationship Id="rId13" Type="http://schemas.openxmlformats.org/officeDocument/2006/relationships/hyperlink" Target="#'1'!A1"/><Relationship Id="rId3" Type="http://schemas.openxmlformats.org/officeDocument/2006/relationships/hyperlink" Target="#Cockpit!A1"/><Relationship Id="rId7" Type="http://schemas.openxmlformats.org/officeDocument/2006/relationships/hyperlink" Target="#'3'!A1"/><Relationship Id="rId12" Type="http://schemas.openxmlformats.org/officeDocument/2006/relationships/hyperlink" Target="#'13'!A1"/><Relationship Id="rId17" Type="http://schemas.openxmlformats.org/officeDocument/2006/relationships/image" Target="../media/image25.png"/><Relationship Id="rId2" Type="http://schemas.openxmlformats.org/officeDocument/2006/relationships/chart" Target="../charts/chart17.xml"/><Relationship Id="rId16" Type="http://schemas.openxmlformats.org/officeDocument/2006/relationships/image" Target="../media/image24.png"/><Relationship Id="rId1" Type="http://schemas.openxmlformats.org/officeDocument/2006/relationships/image" Target="../media/image2.png"/><Relationship Id="rId6" Type="http://schemas.openxmlformats.org/officeDocument/2006/relationships/hyperlink" Target="#'2'!A1"/><Relationship Id="rId11" Type="http://schemas.openxmlformats.org/officeDocument/2006/relationships/hyperlink" Target="#'9'!A1"/><Relationship Id="rId5" Type="http://schemas.openxmlformats.org/officeDocument/2006/relationships/image" Target="../media/image3.png"/><Relationship Id="rId15" Type="http://schemas.openxmlformats.org/officeDocument/2006/relationships/image" Target="../media/image23.png"/><Relationship Id="rId10" Type="http://schemas.openxmlformats.org/officeDocument/2006/relationships/hyperlink" Target="#'8'!A1"/><Relationship Id="rId4" Type="http://schemas.openxmlformats.org/officeDocument/2006/relationships/hyperlink" Target="#'14'!A1"/><Relationship Id="rId9" Type="http://schemas.openxmlformats.org/officeDocument/2006/relationships/hyperlink" Target="#'6'!A1"/><Relationship Id="rId14" Type="http://schemas.openxmlformats.org/officeDocument/2006/relationships/hyperlink" Target="#'Roter Faden'!A1"/></Relationships>
</file>

<file path=xl/drawings/_rels/drawing19.xml.rels><?xml version="1.0" encoding="UTF-8" standalone="yes"?>
<Relationships xmlns="http://schemas.openxmlformats.org/package/2006/relationships"><Relationship Id="rId3" Type="http://schemas.openxmlformats.org/officeDocument/2006/relationships/hyperlink" Target="#Konfiguration!A1"/><Relationship Id="rId2" Type="http://schemas.openxmlformats.org/officeDocument/2006/relationships/image" Target="../media/image2.png"/><Relationship Id="rId1" Type="http://schemas.openxmlformats.org/officeDocument/2006/relationships/hyperlink" Target="#Deckblatt!A1"/><Relationship Id="rId4" Type="http://schemas.openxmlformats.org/officeDocument/2006/relationships/image" Target="../media/image26.png"/></Relationships>
</file>

<file path=xl/drawings/_rels/drawing20.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chart" Target="../charts/chart19.xml"/><Relationship Id="rId1" Type="http://schemas.openxmlformats.org/officeDocument/2006/relationships/chart" Target="../charts/chart18.xml"/><Relationship Id="rId5" Type="http://schemas.openxmlformats.org/officeDocument/2006/relationships/image" Target="../media/image2.png"/><Relationship Id="rId4" Type="http://schemas.openxmlformats.org/officeDocument/2006/relationships/image" Target="../media/image28.jpeg"/></Relationships>
</file>

<file path=xl/drawings/_rels/drawing2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2.xml.rels><?xml version="1.0" encoding="UTF-8" standalone="yes"?>
<Relationships xmlns="http://schemas.openxmlformats.org/package/2006/relationships"><Relationship Id="rId3" Type="http://schemas.openxmlformats.org/officeDocument/2006/relationships/chart" Target="../charts/chart22.xml"/><Relationship Id="rId7" Type="http://schemas.openxmlformats.org/officeDocument/2006/relationships/image" Target="../media/image2.png"/><Relationship Id="rId2" Type="http://schemas.openxmlformats.org/officeDocument/2006/relationships/chart" Target="../charts/chart21.xml"/><Relationship Id="rId1" Type="http://schemas.openxmlformats.org/officeDocument/2006/relationships/chart" Target="../charts/chart20.xml"/><Relationship Id="rId6" Type="http://schemas.openxmlformats.org/officeDocument/2006/relationships/chart" Target="../charts/chart25.xml"/><Relationship Id="rId5" Type="http://schemas.openxmlformats.org/officeDocument/2006/relationships/chart" Target="../charts/chart24.xml"/><Relationship Id="rId4" Type="http://schemas.openxmlformats.org/officeDocument/2006/relationships/chart" Target="../charts/chart23.xml"/></Relationships>
</file>

<file path=xl/drawings/_rels/drawing23.xml.rels><?xml version="1.0" encoding="UTF-8" standalone="yes"?>
<Relationships xmlns="http://schemas.openxmlformats.org/package/2006/relationships"><Relationship Id="rId1" Type="http://schemas.openxmlformats.org/officeDocument/2006/relationships/image" Target="../media/image2.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7.emf"/><Relationship Id="rId1" Type="http://schemas.openxmlformats.org/officeDocument/2006/relationships/image" Target="../media/image6.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9.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2.emf"/></Relationships>
</file>

<file path=xl/drawings/_rels/vmlDrawing4.vml.rels><?xml version="1.0" encoding="UTF-8" standalone="yes"?>
<Relationships xmlns="http://schemas.openxmlformats.org/package/2006/relationships"><Relationship Id="rId2" Type="http://schemas.openxmlformats.org/officeDocument/2006/relationships/image" Target="../media/image22.png"/><Relationship Id="rId1" Type="http://schemas.openxmlformats.org/officeDocument/2006/relationships/image" Target="../media/image21.emf"/></Relationships>
</file>

<file path=xl/drawings/drawing1.xml><?xml version="1.0" encoding="utf-8"?>
<xdr:wsDr xmlns:xdr="http://schemas.openxmlformats.org/drawingml/2006/spreadsheetDrawing" xmlns:a="http://schemas.openxmlformats.org/drawingml/2006/main">
  <xdr:twoCellAnchor editAs="oneCell">
    <xdr:from>
      <xdr:col>4</xdr:col>
      <xdr:colOff>628651</xdr:colOff>
      <xdr:row>8</xdr:row>
      <xdr:rowOff>0</xdr:rowOff>
    </xdr:from>
    <xdr:to>
      <xdr:col>7</xdr:col>
      <xdr:colOff>66676</xdr:colOff>
      <xdr:row>15</xdr:row>
      <xdr:rowOff>150774</xdr:rowOff>
    </xdr:to>
    <xdr:pic>
      <xdr:nvPicPr>
        <xdr:cNvPr id="5" name="Picture 4">
          <a:extLst>
            <a:ext uri="{FF2B5EF4-FFF2-40B4-BE49-F238E27FC236}">
              <a16:creationId xmlns:a16="http://schemas.microsoft.com/office/drawing/2014/main" id="{8E442CA3-E079-4AC0-8907-2CB8F3ECE7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33926" y="1714500"/>
          <a:ext cx="1581150" cy="1484274"/>
        </a:xfrm>
        <a:prstGeom prst="rect">
          <a:avLst/>
        </a:prstGeom>
      </xdr:spPr>
    </xdr:pic>
    <xdr:clientData/>
  </xdr:twoCellAnchor>
  <xdr:twoCellAnchor editAs="oneCell">
    <xdr:from>
      <xdr:col>0</xdr:col>
      <xdr:colOff>76200</xdr:colOff>
      <xdr:row>0</xdr:row>
      <xdr:rowOff>76200</xdr:rowOff>
    </xdr:from>
    <xdr:to>
      <xdr:col>0</xdr:col>
      <xdr:colOff>482067</xdr:colOff>
      <xdr:row>2</xdr:row>
      <xdr:rowOff>104775</xdr:rowOff>
    </xdr:to>
    <xdr:pic>
      <xdr:nvPicPr>
        <xdr:cNvPr id="6" name="Picture 5">
          <a:extLst>
            <a:ext uri="{FF2B5EF4-FFF2-40B4-BE49-F238E27FC236}">
              <a16:creationId xmlns:a16="http://schemas.microsoft.com/office/drawing/2014/main" id="{BD13EA3F-4965-4AEC-883D-7B958A57E3A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200" y="76200"/>
          <a:ext cx="405867" cy="381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B2BA22CF-BC76-4135-A636-1292FA0691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244D525A-BCBA-4C9A-A825-3494BBB292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85725</xdr:colOff>
      <xdr:row>0</xdr:row>
      <xdr:rowOff>137737</xdr:rowOff>
    </xdr:from>
    <xdr:to>
      <xdr:col>17</xdr:col>
      <xdr:colOff>266700</xdr:colOff>
      <xdr:row>2</xdr:row>
      <xdr:rowOff>33712</xdr:rowOff>
    </xdr:to>
    <xdr:grpSp>
      <xdr:nvGrpSpPr>
        <xdr:cNvPr id="14" name="Group 13">
          <a:extLst>
            <a:ext uri="{FF2B5EF4-FFF2-40B4-BE49-F238E27FC236}">
              <a16:creationId xmlns:a16="http://schemas.microsoft.com/office/drawing/2014/main" id="{90CBD6C6-BF44-4B5C-986B-9FD2DB56DAD6}"/>
            </a:ext>
          </a:extLst>
        </xdr:cNvPr>
        <xdr:cNvGrpSpPr/>
      </xdr:nvGrpSpPr>
      <xdr:grpSpPr>
        <a:xfrm>
          <a:off x="3375025" y="137737"/>
          <a:ext cx="10937875" cy="238875"/>
          <a:chOff x="2952750" y="137737"/>
          <a:chExt cx="9563100" cy="248400"/>
        </a:xfrm>
      </xdr:grpSpPr>
      <xdr:sp macro="" textlink="">
        <xdr:nvSpPr>
          <xdr:cNvPr id="16" name="Rectangle 15">
            <a:hlinkClick xmlns:r="http://schemas.openxmlformats.org/officeDocument/2006/relationships" r:id="rId3"/>
            <a:extLst>
              <a:ext uri="{FF2B5EF4-FFF2-40B4-BE49-F238E27FC236}">
                <a16:creationId xmlns:a16="http://schemas.microsoft.com/office/drawing/2014/main" id="{C1D35D57-A412-44E1-83BE-62CF1B9345CD}"/>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Kaufnebenkosten</a:t>
            </a:r>
          </a:p>
        </xdr:txBody>
      </xdr:sp>
      <xdr:sp macro="" textlink="">
        <xdr:nvSpPr>
          <xdr:cNvPr id="17" name="Rectangle 16">
            <a:hlinkClick xmlns:r="http://schemas.openxmlformats.org/officeDocument/2006/relationships" r:id="rId4"/>
            <a:extLst>
              <a:ext uri="{FF2B5EF4-FFF2-40B4-BE49-F238E27FC236}">
                <a16:creationId xmlns:a16="http://schemas.microsoft.com/office/drawing/2014/main" id="{072B3BEE-30C8-415C-9F06-431C67F26D89}"/>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Maßnahmen</a:t>
            </a:r>
          </a:p>
        </xdr:txBody>
      </xdr:sp>
      <xdr:sp macro="" textlink="">
        <xdr:nvSpPr>
          <xdr:cNvPr id="18" name="Rectangle 17">
            <a:hlinkClick xmlns:r="http://schemas.openxmlformats.org/officeDocument/2006/relationships" r:id="rId5"/>
            <a:extLst>
              <a:ext uri="{FF2B5EF4-FFF2-40B4-BE49-F238E27FC236}">
                <a16:creationId xmlns:a16="http://schemas.microsoft.com/office/drawing/2014/main" id="{DF80DC72-E647-43B7-A1A3-3ABD796F4FBA}"/>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Finanzierung</a:t>
            </a:r>
          </a:p>
        </xdr:txBody>
      </xdr:sp>
      <xdr:sp macro="" textlink="">
        <xdr:nvSpPr>
          <xdr:cNvPr id="19" name="Rectangle 18">
            <a:hlinkClick xmlns:r="http://schemas.openxmlformats.org/officeDocument/2006/relationships" r:id="rId6"/>
            <a:extLst>
              <a:ext uri="{FF2B5EF4-FFF2-40B4-BE49-F238E27FC236}">
                <a16:creationId xmlns:a16="http://schemas.microsoft.com/office/drawing/2014/main" id="{772464C3-98BC-4B26-94A8-A141F361CC35}"/>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Hausgeld &amp;</a:t>
            </a:r>
            <a:r>
              <a:rPr lang="de-DE" sz="1050" baseline="0">
                <a:solidFill>
                  <a:schemeClr val="bg1"/>
                </a:solidFill>
                <a:latin typeface="+mn-lt"/>
              </a:rPr>
              <a:t> Rücklagen</a:t>
            </a:r>
            <a:endParaRPr lang="de-DE" sz="1050">
              <a:solidFill>
                <a:schemeClr val="bg1"/>
              </a:solidFill>
              <a:latin typeface="+mn-lt"/>
            </a:endParaRPr>
          </a:p>
        </xdr:txBody>
      </xdr:sp>
      <xdr:sp macro="" textlink="">
        <xdr:nvSpPr>
          <xdr:cNvPr id="20" name="Rectangle 19">
            <a:hlinkClick xmlns:r="http://schemas.openxmlformats.org/officeDocument/2006/relationships" r:id="rId7"/>
            <a:extLst>
              <a:ext uri="{FF2B5EF4-FFF2-40B4-BE49-F238E27FC236}">
                <a16:creationId xmlns:a16="http://schemas.microsoft.com/office/drawing/2014/main" id="{599A191A-E8E4-47A5-B33F-7041E1D98A30}"/>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Zinsrisiko</a:t>
            </a:r>
          </a:p>
        </xdr:txBody>
      </xdr:sp>
      <xdr:sp macro="" textlink="">
        <xdr:nvSpPr>
          <xdr:cNvPr id="21" name="Rectangle 20">
            <a:hlinkClick xmlns:r="http://schemas.openxmlformats.org/officeDocument/2006/relationships" r:id="rId8"/>
            <a:extLst>
              <a:ext uri="{FF2B5EF4-FFF2-40B4-BE49-F238E27FC236}">
                <a16:creationId xmlns:a16="http://schemas.microsoft.com/office/drawing/2014/main" id="{EB6512EB-C480-4087-942D-19C1DD45D72F}"/>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Steuern</a:t>
            </a:r>
          </a:p>
        </xdr:txBody>
      </xdr:sp>
      <xdr:sp macro="" textlink="">
        <xdr:nvSpPr>
          <xdr:cNvPr id="22" name="Rectangle 21">
            <a:hlinkClick xmlns:r="http://schemas.openxmlformats.org/officeDocument/2006/relationships" r:id="rId9"/>
            <a:extLst>
              <a:ext uri="{FF2B5EF4-FFF2-40B4-BE49-F238E27FC236}">
                <a16:creationId xmlns:a16="http://schemas.microsoft.com/office/drawing/2014/main" id="{AA26B43C-CE7C-4CAF-9EBA-5B2FC79EEDC5}"/>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23" name="Rectangle 22">
            <a:extLst>
              <a:ext uri="{FF2B5EF4-FFF2-40B4-BE49-F238E27FC236}">
                <a16:creationId xmlns:a16="http://schemas.microsoft.com/office/drawing/2014/main" id="{2BE513E0-6A35-4D23-B714-105E9F022F69}"/>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24" name="Rectangle 23">
            <a:extLst>
              <a:ext uri="{FF2B5EF4-FFF2-40B4-BE49-F238E27FC236}">
                <a16:creationId xmlns:a16="http://schemas.microsoft.com/office/drawing/2014/main" id="{D495D8BC-C46C-4984-B7E6-2513B9048742}"/>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25" name="Rectangle 24">
            <a:extLst>
              <a:ext uri="{FF2B5EF4-FFF2-40B4-BE49-F238E27FC236}">
                <a16:creationId xmlns:a16="http://schemas.microsoft.com/office/drawing/2014/main" id="{203AFC01-3484-4E71-958D-366BA4A413BC}"/>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26" name="Rectangle 25">
            <a:extLst>
              <a:ext uri="{FF2B5EF4-FFF2-40B4-BE49-F238E27FC236}">
                <a16:creationId xmlns:a16="http://schemas.microsoft.com/office/drawing/2014/main" id="{DF3F93F4-C8D5-445C-924B-BEC4D8641597}"/>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27" name="Rectangle 26">
            <a:extLst>
              <a:ext uri="{FF2B5EF4-FFF2-40B4-BE49-F238E27FC236}">
                <a16:creationId xmlns:a16="http://schemas.microsoft.com/office/drawing/2014/main" id="{03B564BB-B302-4A30-AD68-50F914B2ACC1}"/>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28" name="Rectangle 27">
            <a:extLst>
              <a:ext uri="{FF2B5EF4-FFF2-40B4-BE49-F238E27FC236}">
                <a16:creationId xmlns:a16="http://schemas.microsoft.com/office/drawing/2014/main" id="{EF482631-8867-446C-BA86-795529159544}"/>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29" name="Rectangle 28">
            <a:extLst>
              <a:ext uri="{FF2B5EF4-FFF2-40B4-BE49-F238E27FC236}">
                <a16:creationId xmlns:a16="http://schemas.microsoft.com/office/drawing/2014/main" id="{F9AF239C-5BCC-4CF7-8240-731285BA3B2D}"/>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0" name="Rectangle: Rounded Corners 29">
            <a:hlinkClick xmlns:r="http://schemas.openxmlformats.org/officeDocument/2006/relationships" r:id="rId10"/>
            <a:extLst>
              <a:ext uri="{FF2B5EF4-FFF2-40B4-BE49-F238E27FC236}">
                <a16:creationId xmlns:a16="http://schemas.microsoft.com/office/drawing/2014/main" id="{A623A8D9-646F-48EE-A667-87385DA16559}"/>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38" name="Rectangle 37">
            <a:extLst>
              <a:ext uri="{FF2B5EF4-FFF2-40B4-BE49-F238E27FC236}">
                <a16:creationId xmlns:a16="http://schemas.microsoft.com/office/drawing/2014/main" id="{FBF87B40-0E5F-4BD1-ABA3-E7335C7BD6F7}"/>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9" name="Rectangle: Rounded Corners 38">
            <a:hlinkClick xmlns:r="http://schemas.openxmlformats.org/officeDocument/2006/relationships" r:id="rId11"/>
            <a:extLst>
              <a:ext uri="{FF2B5EF4-FFF2-40B4-BE49-F238E27FC236}">
                <a16:creationId xmlns:a16="http://schemas.microsoft.com/office/drawing/2014/main" id="{98351EF2-E942-4229-B731-C7144E6249F1}"/>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sng">
                <a:solidFill>
                  <a:schemeClr val="bg1"/>
                </a:solidFill>
                <a:latin typeface="+mn-lt"/>
              </a:rPr>
              <a:t>Start</a:t>
            </a:r>
          </a:p>
        </xdr:txBody>
      </xdr:sp>
    </xdr:grpSp>
    <xdr:clientData/>
  </xdr:twoCellAnchor>
  <xdr:twoCellAnchor>
    <xdr:from>
      <xdr:col>6</xdr:col>
      <xdr:colOff>600075</xdr:colOff>
      <xdr:row>3</xdr:row>
      <xdr:rowOff>142875</xdr:rowOff>
    </xdr:from>
    <xdr:to>
      <xdr:col>17</xdr:col>
      <xdr:colOff>237557</xdr:colOff>
      <xdr:row>5</xdr:row>
      <xdr:rowOff>246460</xdr:rowOff>
    </xdr:to>
    <xdr:grpSp>
      <xdr:nvGrpSpPr>
        <xdr:cNvPr id="40" name="Group 39">
          <a:extLst>
            <a:ext uri="{FF2B5EF4-FFF2-40B4-BE49-F238E27FC236}">
              <a16:creationId xmlns:a16="http://schemas.microsoft.com/office/drawing/2014/main" id="{691786F1-27EA-416D-A48C-01F8843E54D9}"/>
            </a:ext>
          </a:extLst>
        </xdr:cNvPr>
        <xdr:cNvGrpSpPr/>
      </xdr:nvGrpSpPr>
      <xdr:grpSpPr>
        <a:xfrm>
          <a:off x="5311775" y="638175"/>
          <a:ext cx="8971982" cy="560785"/>
          <a:chOff x="4705350" y="652463"/>
          <a:chExt cx="7771832" cy="579835"/>
        </a:xfrm>
      </xdr:grpSpPr>
      <xdr:grpSp>
        <xdr:nvGrpSpPr>
          <xdr:cNvPr id="43" name="Group 42">
            <a:extLst>
              <a:ext uri="{FF2B5EF4-FFF2-40B4-BE49-F238E27FC236}">
                <a16:creationId xmlns:a16="http://schemas.microsoft.com/office/drawing/2014/main" id="{1B94ABB5-7509-43D8-92B4-0CC640005BDE}"/>
              </a:ext>
            </a:extLst>
          </xdr:cNvPr>
          <xdr:cNvGrpSpPr/>
        </xdr:nvGrpSpPr>
        <xdr:grpSpPr>
          <a:xfrm>
            <a:off x="4705350" y="652463"/>
            <a:ext cx="7771832" cy="257175"/>
            <a:chOff x="4705350" y="642938"/>
            <a:chExt cx="7771832" cy="257175"/>
          </a:xfrm>
        </xdr:grpSpPr>
        <xdr:sp macro="" textlink="">
          <xdr:nvSpPr>
            <xdr:cNvPr id="51" name="Rectangle 50">
              <a:extLst>
                <a:ext uri="{FF2B5EF4-FFF2-40B4-BE49-F238E27FC236}">
                  <a16:creationId xmlns:a16="http://schemas.microsoft.com/office/drawing/2014/main" id="{314E5DD0-9195-4763-AB48-8C2BCCCF0C7C}"/>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52" name="Rectangle 51">
              <a:extLst>
                <a:ext uri="{FF2B5EF4-FFF2-40B4-BE49-F238E27FC236}">
                  <a16:creationId xmlns:a16="http://schemas.microsoft.com/office/drawing/2014/main" id="{7B35AA4B-58E4-4E38-B7C2-03DDE72B8D81}"/>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53" name="Rectangle 52">
              <a:extLst>
                <a:ext uri="{FF2B5EF4-FFF2-40B4-BE49-F238E27FC236}">
                  <a16:creationId xmlns:a16="http://schemas.microsoft.com/office/drawing/2014/main" id="{F3966733-F542-4510-BA9E-7294C85D70B5}"/>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54" name="Rectangle 53">
              <a:extLst>
                <a:ext uri="{FF2B5EF4-FFF2-40B4-BE49-F238E27FC236}">
                  <a16:creationId xmlns:a16="http://schemas.microsoft.com/office/drawing/2014/main" id="{512D7C69-A7F8-44F0-A468-3D2DD7B6CEED}"/>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7F048CB8-2DC3-4A81-BC9E-19E4859D1ADE}"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55" name="Rectangle 54">
              <a:extLst>
                <a:ext uri="{FF2B5EF4-FFF2-40B4-BE49-F238E27FC236}">
                  <a16:creationId xmlns:a16="http://schemas.microsoft.com/office/drawing/2014/main" id="{296E8E6D-F9F2-4ED6-81DA-8036A4CC3169}"/>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580F9F45-8A90-41D0-AF5A-CA1C50FF838E}"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56" name="Rectangle 55">
              <a:extLst>
                <a:ext uri="{FF2B5EF4-FFF2-40B4-BE49-F238E27FC236}">
                  <a16:creationId xmlns:a16="http://schemas.microsoft.com/office/drawing/2014/main" id="{9282C850-300A-4C16-88B9-44D765EAB99D}"/>
                </a:ext>
              </a:extLst>
            </xdr:cNvPr>
            <xdr:cNvSpPr/>
          </xdr:nvSpPr>
          <xdr:spPr>
            <a:xfrm>
              <a:off x="11287125" y="642938"/>
              <a:ext cx="1190057"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F8401A23-1686-4341-91CD-6194D025D9E9}"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44" name="Group 43">
            <a:extLst>
              <a:ext uri="{FF2B5EF4-FFF2-40B4-BE49-F238E27FC236}">
                <a16:creationId xmlns:a16="http://schemas.microsoft.com/office/drawing/2014/main" id="{952DE948-92A4-4A0B-8F6F-96995825AF39}"/>
              </a:ext>
            </a:extLst>
          </xdr:cNvPr>
          <xdr:cNvGrpSpPr/>
        </xdr:nvGrpSpPr>
        <xdr:grpSpPr>
          <a:xfrm>
            <a:off x="4705350" y="975123"/>
            <a:ext cx="7771832" cy="257175"/>
            <a:chOff x="4705350" y="975123"/>
            <a:chExt cx="7771832" cy="257175"/>
          </a:xfrm>
        </xdr:grpSpPr>
        <xdr:sp macro="" textlink="">
          <xdr:nvSpPr>
            <xdr:cNvPr id="45" name="Rectangle 44">
              <a:extLst>
                <a:ext uri="{FF2B5EF4-FFF2-40B4-BE49-F238E27FC236}">
                  <a16:creationId xmlns:a16="http://schemas.microsoft.com/office/drawing/2014/main" id="{A5F0E746-8C54-4CF5-A263-09A144434EA9}"/>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46" name="Rectangle 45">
              <a:extLst>
                <a:ext uri="{FF2B5EF4-FFF2-40B4-BE49-F238E27FC236}">
                  <a16:creationId xmlns:a16="http://schemas.microsoft.com/office/drawing/2014/main" id="{B1F73BB8-EEEE-474D-82DA-89F3FD378119}"/>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47" name="Rectangle 46">
              <a:extLst>
                <a:ext uri="{FF2B5EF4-FFF2-40B4-BE49-F238E27FC236}">
                  <a16:creationId xmlns:a16="http://schemas.microsoft.com/office/drawing/2014/main" id="{F9031665-BBAB-43DC-9966-CEB6E02E58C1}"/>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48" name="Rectangle 47">
              <a:extLst>
                <a:ext uri="{FF2B5EF4-FFF2-40B4-BE49-F238E27FC236}">
                  <a16:creationId xmlns:a16="http://schemas.microsoft.com/office/drawing/2014/main" id="{774EC0A7-51B3-4EE8-8689-BE8AEBA4AE8F}"/>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97201318-4DE9-4CFE-96E7-76FA1AE48CF0}"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49" name="Rectangle 48">
              <a:extLst>
                <a:ext uri="{FF2B5EF4-FFF2-40B4-BE49-F238E27FC236}">
                  <a16:creationId xmlns:a16="http://schemas.microsoft.com/office/drawing/2014/main" id="{4DD19CAD-8C96-4593-ABBC-B7A564FFCE3C}"/>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9107BB7F-0935-4467-8453-20B554A8750A}"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50" name="Rectangle 49">
              <a:extLst>
                <a:ext uri="{FF2B5EF4-FFF2-40B4-BE49-F238E27FC236}">
                  <a16:creationId xmlns:a16="http://schemas.microsoft.com/office/drawing/2014/main" id="{95894DE3-807C-48B2-8D20-3E63FEDF6969}"/>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7E9D69CC-3E82-426C-AF51-3DFD654DF28C}"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twoCellAnchor>
    <xdr:from>
      <xdr:col>1</xdr:col>
      <xdr:colOff>9525</xdr:colOff>
      <xdr:row>7</xdr:row>
      <xdr:rowOff>19049</xdr:rowOff>
    </xdr:from>
    <xdr:to>
      <xdr:col>17</xdr:col>
      <xdr:colOff>200025</xdr:colOff>
      <xdr:row>17</xdr:row>
      <xdr:rowOff>161925</xdr:rowOff>
    </xdr:to>
    <xdr:sp macro="" textlink="">
      <xdr:nvSpPr>
        <xdr:cNvPr id="57" name="Rectangle: Rounded Corners 56">
          <a:extLst>
            <a:ext uri="{FF2B5EF4-FFF2-40B4-BE49-F238E27FC236}">
              <a16:creationId xmlns:a16="http://schemas.microsoft.com/office/drawing/2014/main" id="{7BA5478E-2E50-4454-8784-364EF521BEF5}"/>
            </a:ext>
          </a:extLst>
        </xdr:cNvPr>
        <xdr:cNvSpPr/>
      </xdr:nvSpPr>
      <xdr:spPr>
        <a:xfrm>
          <a:off x="228600" y="1666874"/>
          <a:ext cx="12220575" cy="2447926"/>
        </a:xfrm>
        <a:prstGeom prst="roundRect">
          <a:avLst>
            <a:gd name="adj" fmla="val 546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90000" rtlCol="0" anchor="t"/>
        <a:lstStyle/>
        <a:p>
          <a:pPr algn="l">
            <a:lnSpc>
              <a:spcPct val="130000"/>
            </a:lnSpc>
            <a:spcAft>
              <a:spcPts val="1200"/>
            </a:spcAft>
          </a:pPr>
          <a:r>
            <a:rPr lang="de-DE" sz="1200" b="1" baseline="0">
              <a:solidFill>
                <a:schemeClr val="tx2"/>
              </a:solidFill>
              <a:latin typeface="Century Gothic" panose="020B0502020202020204" pitchFamily="34" charset="0"/>
            </a:rPr>
            <a:t>Herzlich willkommen beim roten Faden</a:t>
          </a:r>
        </a:p>
        <a:p>
          <a:pPr algn="l">
            <a:lnSpc>
              <a:spcPct val="130000"/>
            </a:lnSpc>
            <a:spcAft>
              <a:spcPts val="1200"/>
            </a:spcAft>
          </a:pPr>
          <a:r>
            <a:rPr lang="de-DE" sz="1200" b="0" baseline="0">
              <a:solidFill>
                <a:schemeClr val="tx2"/>
              </a:solidFill>
              <a:latin typeface="Century Gothic" panose="020B0502020202020204" pitchFamily="34" charset="0"/>
            </a:rPr>
            <a:t>Dieses Tool führt dich Schritt für Schritt durch eine vollständige Kalkulation für eine vermietete Wohnung.</a:t>
          </a:r>
        </a:p>
        <a:p>
          <a:pPr algn="l">
            <a:lnSpc>
              <a:spcPct val="130000"/>
            </a:lnSpc>
            <a:spcAft>
              <a:spcPts val="1200"/>
            </a:spcAft>
          </a:pPr>
          <a:r>
            <a:rPr lang="de-DE" sz="1200" b="0" baseline="0">
              <a:solidFill>
                <a:schemeClr val="tx2"/>
              </a:solidFill>
              <a:latin typeface="Century Gothic" panose="020B0502020202020204" pitchFamily="34" charset="0"/>
            </a:rPr>
            <a:t>Das Ergebnis hilft dir, zu verstehen, ob der Wohnungskauf lohnenswert wäre oder nicht.</a:t>
          </a:r>
        </a:p>
        <a:p>
          <a:pPr algn="l">
            <a:lnSpc>
              <a:spcPct val="130000"/>
            </a:lnSpc>
            <a:spcAft>
              <a:spcPts val="1200"/>
            </a:spcAft>
          </a:pPr>
          <a:r>
            <a:rPr lang="de-DE" sz="1200" b="0" baseline="0">
              <a:solidFill>
                <a:schemeClr val="tx2"/>
              </a:solidFill>
              <a:latin typeface="Century Gothic" panose="020B0502020202020204" pitchFamily="34" charset="0"/>
            </a:rPr>
            <a:t>Am Ende aller Schritte erfährst du, wie viel jeden Monat wirklich übrig bleibt. Dabei wird die Steuer berücksichtigt und alle sonst noch wichtigen Kennzahlen berechnet.</a:t>
          </a:r>
        </a:p>
      </xdr:txBody>
    </xdr:sp>
    <xdr:clientData/>
  </xdr:twoCellAnchor>
  <xdr:twoCellAnchor>
    <xdr:from>
      <xdr:col>7</xdr:col>
      <xdr:colOff>723900</xdr:colOff>
      <xdr:row>14</xdr:row>
      <xdr:rowOff>171450</xdr:rowOff>
    </xdr:from>
    <xdr:to>
      <xdr:col>10</xdr:col>
      <xdr:colOff>247650</xdr:colOff>
      <xdr:row>16</xdr:row>
      <xdr:rowOff>171449</xdr:rowOff>
    </xdr:to>
    <xdr:sp macro="" textlink="">
      <xdr:nvSpPr>
        <xdr:cNvPr id="42" name="Rectangle: Rounded Corners 41">
          <a:hlinkClick xmlns:r="http://schemas.openxmlformats.org/officeDocument/2006/relationships" r:id="rId12"/>
          <a:extLst>
            <a:ext uri="{FF2B5EF4-FFF2-40B4-BE49-F238E27FC236}">
              <a16:creationId xmlns:a16="http://schemas.microsoft.com/office/drawing/2014/main" id="{5EEEC95E-D6EB-467C-9131-F203B179F861}"/>
            </a:ext>
          </a:extLst>
        </xdr:cNvPr>
        <xdr:cNvSpPr/>
      </xdr:nvSpPr>
      <xdr:spPr>
        <a:xfrm>
          <a:off x="5448300" y="3552825"/>
          <a:ext cx="1781175" cy="380999"/>
        </a:xfrm>
        <a:prstGeom prst="roundRect">
          <a:avLst/>
        </a:prstGeom>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200">
              <a:latin typeface="Century Gothic" panose="020B0502020202020204" pitchFamily="34" charset="0"/>
            </a:rPr>
            <a:t>Los geht's</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73688A1A-2716-4E3B-8F79-324F378D86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3" name="Diagramm 7">
          <a:extLst>
            <a:ext uri="{FF2B5EF4-FFF2-40B4-BE49-F238E27FC236}">
              <a16:creationId xmlns:a16="http://schemas.microsoft.com/office/drawing/2014/main" id="{E2D8BCCB-9633-4DFF-B7A0-077F6D660B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9525</xdr:colOff>
      <xdr:row>7</xdr:row>
      <xdr:rowOff>9526</xdr:rowOff>
    </xdr:from>
    <xdr:to>
      <xdr:col>17</xdr:col>
      <xdr:colOff>190500</xdr:colOff>
      <xdr:row>9</xdr:row>
      <xdr:rowOff>9525</xdr:rowOff>
    </xdr:to>
    <xdr:sp macro="" textlink="">
      <xdr:nvSpPr>
        <xdr:cNvPr id="4" name="Rectangle: Rounded Corners 3">
          <a:extLst>
            <a:ext uri="{FF2B5EF4-FFF2-40B4-BE49-F238E27FC236}">
              <a16:creationId xmlns:a16="http://schemas.microsoft.com/office/drawing/2014/main" id="{82F24B07-DC79-4321-9C81-AA844F1C6318}"/>
            </a:ext>
          </a:extLst>
        </xdr:cNvPr>
        <xdr:cNvSpPr/>
      </xdr:nvSpPr>
      <xdr:spPr>
        <a:xfrm>
          <a:off x="4733925" y="2628901"/>
          <a:ext cx="7705725" cy="371474"/>
        </a:xfrm>
        <a:prstGeom prst="roundRect">
          <a:avLst>
            <a:gd name="adj" fmla="val 15530"/>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spcAft>
              <a:spcPts val="1200"/>
            </a:spcAft>
          </a:pPr>
          <a:r>
            <a:rPr lang="de-DE" sz="1200">
              <a:solidFill>
                <a:schemeClr val="tx2"/>
              </a:solidFill>
              <a:latin typeface="Century Gothic" panose="020B0502020202020204" pitchFamily="34" charset="0"/>
            </a:rPr>
            <a:t>Diese </a:t>
          </a:r>
          <a:r>
            <a:rPr lang="de-DE" sz="1200" b="1">
              <a:solidFill>
                <a:schemeClr val="tx2"/>
              </a:solidFill>
              <a:latin typeface="Century Gothic" panose="020B0502020202020204" pitchFamily="34" charset="0"/>
            </a:rPr>
            <a:t>Adresse</a:t>
          </a:r>
          <a:r>
            <a:rPr lang="de-DE" sz="1200" baseline="0">
              <a:solidFill>
                <a:schemeClr val="tx2"/>
              </a:solidFill>
              <a:latin typeface="Century Gothic" panose="020B0502020202020204" pitchFamily="34" charset="0"/>
            </a:rPr>
            <a:t> erscheint auf anderen Blättern und Ausdrucken - bspw. für die Bank.</a:t>
          </a:r>
        </a:p>
      </xdr:txBody>
    </xdr:sp>
    <xdr:clientData/>
  </xdr:twoCellAnchor>
  <xdr:twoCellAnchor>
    <xdr:from>
      <xdr:col>7</xdr:col>
      <xdr:colOff>9525</xdr:colOff>
      <xdr:row>11</xdr:row>
      <xdr:rowOff>9525</xdr:rowOff>
    </xdr:from>
    <xdr:to>
      <xdr:col>17</xdr:col>
      <xdr:colOff>190500</xdr:colOff>
      <xdr:row>18</xdr:row>
      <xdr:rowOff>19050</xdr:rowOff>
    </xdr:to>
    <xdr:sp macro="" textlink="">
      <xdr:nvSpPr>
        <xdr:cNvPr id="6" name="Rectangle: Rounded Corners 5">
          <a:extLst>
            <a:ext uri="{FF2B5EF4-FFF2-40B4-BE49-F238E27FC236}">
              <a16:creationId xmlns:a16="http://schemas.microsoft.com/office/drawing/2014/main" id="{F26FB121-1DAC-4F9D-BB0F-F74410814B78}"/>
            </a:ext>
          </a:extLst>
        </xdr:cNvPr>
        <xdr:cNvSpPr/>
      </xdr:nvSpPr>
      <xdr:spPr>
        <a:xfrm>
          <a:off x="4733925" y="3648075"/>
          <a:ext cx="7705725" cy="1743075"/>
        </a:xfrm>
        <a:prstGeom prst="roundRect">
          <a:avLst>
            <a:gd name="adj" fmla="val 4857"/>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spcAft>
              <a:spcPts val="1200"/>
            </a:spcAft>
          </a:pPr>
          <a:r>
            <a:rPr lang="de-DE" sz="1200" baseline="0">
              <a:solidFill>
                <a:schemeClr val="tx2"/>
              </a:solidFill>
              <a:latin typeface="Century Gothic" panose="020B0502020202020204" pitchFamily="34" charset="0"/>
            </a:rPr>
            <a:t>Wie viel </a:t>
          </a:r>
          <a:r>
            <a:rPr lang="de-DE" sz="1200" b="1" baseline="0">
              <a:solidFill>
                <a:schemeClr val="tx2"/>
              </a:solidFill>
              <a:latin typeface="Century Gothic" panose="020B0502020202020204" pitchFamily="34" charset="0"/>
            </a:rPr>
            <a:t>Wohnfläche</a:t>
          </a:r>
          <a:r>
            <a:rPr lang="de-DE" sz="1200" baseline="0">
              <a:solidFill>
                <a:schemeClr val="tx2"/>
              </a:solidFill>
              <a:latin typeface="Century Gothic" panose="020B0502020202020204" pitchFamily="34" charset="0"/>
            </a:rPr>
            <a:t> hat die Wohnung? Dieser Wert wird später für die richtige Berechnung von Rücklagen und der Steuer verwendet.</a:t>
          </a:r>
        </a:p>
        <a:p>
          <a:pPr algn="l">
            <a:lnSpc>
              <a:spcPct val="130000"/>
            </a:lnSpc>
            <a:spcAft>
              <a:spcPts val="1200"/>
            </a:spcAft>
          </a:pPr>
          <a:r>
            <a:rPr lang="de-DE" sz="1200" baseline="0">
              <a:solidFill>
                <a:schemeClr val="tx2"/>
              </a:solidFill>
              <a:latin typeface="Century Gothic" panose="020B0502020202020204" pitchFamily="34" charset="0"/>
            </a:rPr>
            <a:t>Das </a:t>
          </a:r>
          <a:r>
            <a:rPr lang="de-DE" sz="1200" b="1" baseline="0">
              <a:solidFill>
                <a:schemeClr val="tx2"/>
              </a:solidFill>
              <a:latin typeface="Century Gothic" panose="020B0502020202020204" pitchFamily="34" charset="0"/>
            </a:rPr>
            <a:t>Kauf-Datum</a:t>
          </a:r>
          <a:r>
            <a:rPr lang="de-DE" sz="1200" baseline="0">
              <a:solidFill>
                <a:schemeClr val="tx2"/>
              </a:solidFill>
              <a:latin typeface="Century Gothic" panose="020B0502020202020204" pitchFamily="34" charset="0"/>
            </a:rPr>
            <a:t> wird an vielen Stellen im Tool verwendet und bestimmt auch, mit welchem Jahr alle Zeitverläufe beginnen etc. Rechnerisch beginnen alle Darlehen, Wertentwicklungen usw. am 1. Januar des Jahres, das du hier eingibst. Für eine erste Berechnung kannst du auch einfach das </a:t>
          </a:r>
          <a:r>
            <a:rPr lang="de-DE" sz="1200" b="1" baseline="0">
              <a:solidFill>
                <a:schemeClr val="tx2"/>
              </a:solidFill>
              <a:latin typeface="Century Gothic" panose="020B0502020202020204" pitchFamily="34" charset="0"/>
            </a:rPr>
            <a:t>heutige Datum stehen lassen</a:t>
          </a:r>
          <a:r>
            <a:rPr lang="de-DE" sz="1200" baseline="0">
              <a:solidFill>
                <a:schemeClr val="tx2"/>
              </a:solidFill>
              <a:latin typeface="Century Gothic" panose="020B0502020202020204" pitchFamily="34" charset="0"/>
            </a:rPr>
            <a:t>.</a:t>
          </a:r>
        </a:p>
      </xdr:txBody>
    </xdr:sp>
    <xdr:clientData/>
  </xdr:twoCellAnchor>
  <xdr:twoCellAnchor>
    <xdr:from>
      <xdr:col>4</xdr:col>
      <xdr:colOff>85725</xdr:colOff>
      <xdr:row>0</xdr:row>
      <xdr:rowOff>137737</xdr:rowOff>
    </xdr:from>
    <xdr:to>
      <xdr:col>17</xdr:col>
      <xdr:colOff>266700</xdr:colOff>
      <xdr:row>2</xdr:row>
      <xdr:rowOff>33712</xdr:rowOff>
    </xdr:to>
    <xdr:grpSp>
      <xdr:nvGrpSpPr>
        <xdr:cNvPr id="7" name="Group 6">
          <a:extLst>
            <a:ext uri="{FF2B5EF4-FFF2-40B4-BE49-F238E27FC236}">
              <a16:creationId xmlns:a16="http://schemas.microsoft.com/office/drawing/2014/main" id="{4BAC72B2-850D-464A-A55A-92C502329DCA}"/>
            </a:ext>
          </a:extLst>
        </xdr:cNvPr>
        <xdr:cNvGrpSpPr/>
      </xdr:nvGrpSpPr>
      <xdr:grpSpPr>
        <a:xfrm>
          <a:off x="3375025" y="137737"/>
          <a:ext cx="10937875" cy="238875"/>
          <a:chOff x="2952750" y="137737"/>
          <a:chExt cx="9563100" cy="248400"/>
        </a:xfrm>
      </xdr:grpSpPr>
      <xdr:sp macro="" textlink="">
        <xdr:nvSpPr>
          <xdr:cNvPr id="8" name="Rectangle 7">
            <a:hlinkClick xmlns:r="http://schemas.openxmlformats.org/officeDocument/2006/relationships" r:id="rId3"/>
            <a:extLst>
              <a:ext uri="{FF2B5EF4-FFF2-40B4-BE49-F238E27FC236}">
                <a16:creationId xmlns:a16="http://schemas.microsoft.com/office/drawing/2014/main" id="{81C782E2-9B3D-45A8-9F01-54AAFC288625}"/>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Kaufnebenkosten</a:t>
            </a:r>
          </a:p>
        </xdr:txBody>
      </xdr:sp>
      <xdr:sp macro="" textlink="">
        <xdr:nvSpPr>
          <xdr:cNvPr id="9" name="Rectangle 8">
            <a:hlinkClick xmlns:r="http://schemas.openxmlformats.org/officeDocument/2006/relationships" r:id="rId4"/>
            <a:extLst>
              <a:ext uri="{FF2B5EF4-FFF2-40B4-BE49-F238E27FC236}">
                <a16:creationId xmlns:a16="http://schemas.microsoft.com/office/drawing/2014/main" id="{FEAFC8E3-01E7-472A-A13B-77FAEBBECED6}"/>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Maßnahmen</a:t>
            </a:r>
          </a:p>
        </xdr:txBody>
      </xdr:sp>
      <xdr:sp macro="" textlink="">
        <xdr:nvSpPr>
          <xdr:cNvPr id="10" name="Rectangle 9">
            <a:hlinkClick xmlns:r="http://schemas.openxmlformats.org/officeDocument/2006/relationships" r:id="rId5"/>
            <a:extLst>
              <a:ext uri="{FF2B5EF4-FFF2-40B4-BE49-F238E27FC236}">
                <a16:creationId xmlns:a16="http://schemas.microsoft.com/office/drawing/2014/main" id="{FC38344B-A0C5-4936-86B0-B836F860926B}"/>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Finanzierung</a:t>
            </a:r>
          </a:p>
        </xdr:txBody>
      </xdr:sp>
      <xdr:sp macro="" textlink="">
        <xdr:nvSpPr>
          <xdr:cNvPr id="11" name="Rectangle 10">
            <a:hlinkClick xmlns:r="http://schemas.openxmlformats.org/officeDocument/2006/relationships" r:id="rId6"/>
            <a:extLst>
              <a:ext uri="{FF2B5EF4-FFF2-40B4-BE49-F238E27FC236}">
                <a16:creationId xmlns:a16="http://schemas.microsoft.com/office/drawing/2014/main" id="{CE429C3C-E9DE-4CEE-A44C-7476D5B29822}"/>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Hausgeld &amp;</a:t>
            </a:r>
            <a:r>
              <a:rPr lang="de-DE" sz="1050" baseline="0">
                <a:solidFill>
                  <a:schemeClr val="bg1"/>
                </a:solidFill>
                <a:latin typeface="+mn-lt"/>
              </a:rPr>
              <a:t> Rücklagen</a:t>
            </a:r>
            <a:endParaRPr lang="de-DE" sz="1050">
              <a:solidFill>
                <a:schemeClr val="bg1"/>
              </a:solidFill>
              <a:latin typeface="+mn-lt"/>
            </a:endParaRPr>
          </a:p>
        </xdr:txBody>
      </xdr:sp>
      <xdr:sp macro="" textlink="">
        <xdr:nvSpPr>
          <xdr:cNvPr id="12" name="Rectangle 11">
            <a:hlinkClick xmlns:r="http://schemas.openxmlformats.org/officeDocument/2006/relationships" r:id="rId7"/>
            <a:extLst>
              <a:ext uri="{FF2B5EF4-FFF2-40B4-BE49-F238E27FC236}">
                <a16:creationId xmlns:a16="http://schemas.microsoft.com/office/drawing/2014/main" id="{D23848E2-4DF2-4A48-818E-9DC99F57317D}"/>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Zinsrisiko</a:t>
            </a:r>
          </a:p>
        </xdr:txBody>
      </xdr:sp>
      <xdr:sp macro="" textlink="">
        <xdr:nvSpPr>
          <xdr:cNvPr id="13" name="Rectangle 12">
            <a:hlinkClick xmlns:r="http://schemas.openxmlformats.org/officeDocument/2006/relationships" r:id="rId8"/>
            <a:extLst>
              <a:ext uri="{FF2B5EF4-FFF2-40B4-BE49-F238E27FC236}">
                <a16:creationId xmlns:a16="http://schemas.microsoft.com/office/drawing/2014/main" id="{173CEE0D-9E88-4E24-B707-E66A04BC2C38}"/>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Steuern</a:t>
            </a:r>
          </a:p>
        </xdr:txBody>
      </xdr:sp>
      <xdr:sp macro="" textlink="">
        <xdr:nvSpPr>
          <xdr:cNvPr id="14" name="Rectangle 13">
            <a:hlinkClick xmlns:r="http://schemas.openxmlformats.org/officeDocument/2006/relationships" r:id="rId9"/>
            <a:extLst>
              <a:ext uri="{FF2B5EF4-FFF2-40B4-BE49-F238E27FC236}">
                <a16:creationId xmlns:a16="http://schemas.microsoft.com/office/drawing/2014/main" id="{A681AB99-1F8C-47AE-ABF7-BF5A33442D9E}"/>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15" name="Rectangle 14">
            <a:extLst>
              <a:ext uri="{FF2B5EF4-FFF2-40B4-BE49-F238E27FC236}">
                <a16:creationId xmlns:a16="http://schemas.microsoft.com/office/drawing/2014/main" id="{2A564467-DD95-48C6-B69C-2AB534D6F96E}"/>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16" name="Rectangle 15">
            <a:extLst>
              <a:ext uri="{FF2B5EF4-FFF2-40B4-BE49-F238E27FC236}">
                <a16:creationId xmlns:a16="http://schemas.microsoft.com/office/drawing/2014/main" id="{C282AD01-A78E-472C-BB70-EC5A103F98CE}"/>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17" name="Rectangle 16">
            <a:extLst>
              <a:ext uri="{FF2B5EF4-FFF2-40B4-BE49-F238E27FC236}">
                <a16:creationId xmlns:a16="http://schemas.microsoft.com/office/drawing/2014/main" id="{51CC87D9-4A37-4FCB-BF86-B7B2F99875FE}"/>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18" name="Rectangle 17">
            <a:extLst>
              <a:ext uri="{FF2B5EF4-FFF2-40B4-BE49-F238E27FC236}">
                <a16:creationId xmlns:a16="http://schemas.microsoft.com/office/drawing/2014/main" id="{AD4B2773-8AAB-475D-9AC1-489B66C81FE4}"/>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19" name="Rectangle 18">
            <a:extLst>
              <a:ext uri="{FF2B5EF4-FFF2-40B4-BE49-F238E27FC236}">
                <a16:creationId xmlns:a16="http://schemas.microsoft.com/office/drawing/2014/main" id="{5FD88174-52E3-468B-B55B-71AED606D8A7}"/>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20" name="Rectangle 19">
            <a:extLst>
              <a:ext uri="{FF2B5EF4-FFF2-40B4-BE49-F238E27FC236}">
                <a16:creationId xmlns:a16="http://schemas.microsoft.com/office/drawing/2014/main" id="{50286177-9391-48BC-9B9C-A3B933AEB39E}"/>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21" name="Rectangle 20">
            <a:extLst>
              <a:ext uri="{FF2B5EF4-FFF2-40B4-BE49-F238E27FC236}">
                <a16:creationId xmlns:a16="http://schemas.microsoft.com/office/drawing/2014/main" id="{A806D56E-E17E-4C8E-970D-16A79EED0BFA}"/>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22" name="Rectangle: Rounded Corners 21">
            <a:hlinkClick xmlns:r="http://schemas.openxmlformats.org/officeDocument/2006/relationships" r:id="rId10"/>
            <a:extLst>
              <a:ext uri="{FF2B5EF4-FFF2-40B4-BE49-F238E27FC236}">
                <a16:creationId xmlns:a16="http://schemas.microsoft.com/office/drawing/2014/main" id="{868E992E-147F-4951-A1AE-3DC3C433F19F}"/>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23" name="Rectangle 22">
            <a:extLst>
              <a:ext uri="{FF2B5EF4-FFF2-40B4-BE49-F238E27FC236}">
                <a16:creationId xmlns:a16="http://schemas.microsoft.com/office/drawing/2014/main" id="{1D91A3D8-62A0-4B42-9916-6FDC3993C9CA}"/>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24" name="Rectangle: Rounded Corners 23">
            <a:hlinkClick xmlns:r="http://schemas.openxmlformats.org/officeDocument/2006/relationships" r:id="rId11"/>
            <a:extLst>
              <a:ext uri="{FF2B5EF4-FFF2-40B4-BE49-F238E27FC236}">
                <a16:creationId xmlns:a16="http://schemas.microsoft.com/office/drawing/2014/main" id="{68D0BD09-E1EE-46EF-8799-88F12D91A701}"/>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sng">
                <a:solidFill>
                  <a:schemeClr val="bg1"/>
                </a:solidFill>
                <a:latin typeface="+mn-lt"/>
              </a:rPr>
              <a:t>Start</a:t>
            </a:r>
          </a:p>
        </xdr:txBody>
      </xdr:sp>
    </xdr:grpSp>
    <xdr:clientData/>
  </xdr:twoCellAnchor>
  <xdr:twoCellAnchor>
    <xdr:from>
      <xdr:col>6</xdr:col>
      <xdr:colOff>600075</xdr:colOff>
      <xdr:row>3</xdr:row>
      <xdr:rowOff>142875</xdr:rowOff>
    </xdr:from>
    <xdr:to>
      <xdr:col>17</xdr:col>
      <xdr:colOff>237557</xdr:colOff>
      <xdr:row>5</xdr:row>
      <xdr:rowOff>246460</xdr:rowOff>
    </xdr:to>
    <xdr:grpSp>
      <xdr:nvGrpSpPr>
        <xdr:cNvPr id="25" name="Group 24">
          <a:extLst>
            <a:ext uri="{FF2B5EF4-FFF2-40B4-BE49-F238E27FC236}">
              <a16:creationId xmlns:a16="http://schemas.microsoft.com/office/drawing/2014/main" id="{9F5A93D8-08DD-4C86-8AAD-67431FAF1B96}"/>
            </a:ext>
          </a:extLst>
        </xdr:cNvPr>
        <xdr:cNvGrpSpPr/>
      </xdr:nvGrpSpPr>
      <xdr:grpSpPr>
        <a:xfrm>
          <a:off x="5311775" y="638175"/>
          <a:ext cx="8971982" cy="560785"/>
          <a:chOff x="4705350" y="652463"/>
          <a:chExt cx="7771832" cy="579835"/>
        </a:xfrm>
      </xdr:grpSpPr>
      <xdr:grpSp>
        <xdr:nvGrpSpPr>
          <xdr:cNvPr id="26" name="Group 25">
            <a:extLst>
              <a:ext uri="{FF2B5EF4-FFF2-40B4-BE49-F238E27FC236}">
                <a16:creationId xmlns:a16="http://schemas.microsoft.com/office/drawing/2014/main" id="{DC3ADCDE-D5F3-4EA6-9465-E3C8FC67DA31}"/>
              </a:ext>
            </a:extLst>
          </xdr:cNvPr>
          <xdr:cNvGrpSpPr/>
        </xdr:nvGrpSpPr>
        <xdr:grpSpPr>
          <a:xfrm>
            <a:off x="4705350" y="652463"/>
            <a:ext cx="7771832" cy="257175"/>
            <a:chOff x="4705350" y="642938"/>
            <a:chExt cx="7771832" cy="257175"/>
          </a:xfrm>
        </xdr:grpSpPr>
        <xdr:sp macro="" textlink="">
          <xdr:nvSpPr>
            <xdr:cNvPr id="34" name="Rectangle 33">
              <a:extLst>
                <a:ext uri="{FF2B5EF4-FFF2-40B4-BE49-F238E27FC236}">
                  <a16:creationId xmlns:a16="http://schemas.microsoft.com/office/drawing/2014/main" id="{0CCCBED6-1BAF-4925-AEC5-95E681788312}"/>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35" name="Rectangle 34">
              <a:extLst>
                <a:ext uri="{FF2B5EF4-FFF2-40B4-BE49-F238E27FC236}">
                  <a16:creationId xmlns:a16="http://schemas.microsoft.com/office/drawing/2014/main" id="{4B12472A-E5D5-473F-AEC7-33D0AFBE7969}"/>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36" name="Rectangle 35">
              <a:extLst>
                <a:ext uri="{FF2B5EF4-FFF2-40B4-BE49-F238E27FC236}">
                  <a16:creationId xmlns:a16="http://schemas.microsoft.com/office/drawing/2014/main" id="{D6E5A491-E5CD-4386-8D9B-0A02D97EAB24}"/>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37" name="Rectangle 36">
              <a:extLst>
                <a:ext uri="{FF2B5EF4-FFF2-40B4-BE49-F238E27FC236}">
                  <a16:creationId xmlns:a16="http://schemas.microsoft.com/office/drawing/2014/main" id="{995E425D-99F2-454F-A039-4FD7691E866C}"/>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839114F5-BB6F-4BF2-9B7D-47D62EF0EC0B}"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38" name="Rectangle 37">
              <a:extLst>
                <a:ext uri="{FF2B5EF4-FFF2-40B4-BE49-F238E27FC236}">
                  <a16:creationId xmlns:a16="http://schemas.microsoft.com/office/drawing/2014/main" id="{9F992F14-B2B4-42A0-AE32-D29787852113}"/>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AD52DF68-69F4-49D3-91D7-01C3855C5F9C}"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39" name="Rectangle 38">
              <a:extLst>
                <a:ext uri="{FF2B5EF4-FFF2-40B4-BE49-F238E27FC236}">
                  <a16:creationId xmlns:a16="http://schemas.microsoft.com/office/drawing/2014/main" id="{03075094-713E-4B04-8361-EBB407069245}"/>
                </a:ext>
              </a:extLst>
            </xdr:cNvPr>
            <xdr:cNvSpPr/>
          </xdr:nvSpPr>
          <xdr:spPr>
            <a:xfrm>
              <a:off x="11277600" y="642938"/>
              <a:ext cx="11995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72776E36-91B9-4C52-A860-2C006E4F3AC3}"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27" name="Group 26">
            <a:extLst>
              <a:ext uri="{FF2B5EF4-FFF2-40B4-BE49-F238E27FC236}">
                <a16:creationId xmlns:a16="http://schemas.microsoft.com/office/drawing/2014/main" id="{03281E03-9242-410D-924B-3AD056A881CE}"/>
              </a:ext>
            </a:extLst>
          </xdr:cNvPr>
          <xdr:cNvGrpSpPr/>
        </xdr:nvGrpSpPr>
        <xdr:grpSpPr>
          <a:xfrm>
            <a:off x="4705350" y="975123"/>
            <a:ext cx="7771832" cy="257175"/>
            <a:chOff x="4705350" y="975123"/>
            <a:chExt cx="7771832" cy="257175"/>
          </a:xfrm>
        </xdr:grpSpPr>
        <xdr:sp macro="" textlink="">
          <xdr:nvSpPr>
            <xdr:cNvPr id="28" name="Rectangle 27">
              <a:extLst>
                <a:ext uri="{FF2B5EF4-FFF2-40B4-BE49-F238E27FC236}">
                  <a16:creationId xmlns:a16="http://schemas.microsoft.com/office/drawing/2014/main" id="{7FB9B68F-E069-4103-BAB7-95D6090FB2CA}"/>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29" name="Rectangle 28">
              <a:extLst>
                <a:ext uri="{FF2B5EF4-FFF2-40B4-BE49-F238E27FC236}">
                  <a16:creationId xmlns:a16="http://schemas.microsoft.com/office/drawing/2014/main" id="{83D15A90-F2C5-4880-B37A-E9DC42DF9362}"/>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30" name="Rectangle 29">
              <a:extLst>
                <a:ext uri="{FF2B5EF4-FFF2-40B4-BE49-F238E27FC236}">
                  <a16:creationId xmlns:a16="http://schemas.microsoft.com/office/drawing/2014/main" id="{510A611A-F3C2-44E7-9985-FE27353EF9D5}"/>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31" name="Rectangle 30">
              <a:extLst>
                <a:ext uri="{FF2B5EF4-FFF2-40B4-BE49-F238E27FC236}">
                  <a16:creationId xmlns:a16="http://schemas.microsoft.com/office/drawing/2014/main" id="{FDE40253-23DE-4F07-BB70-6C2D45958D46}"/>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DB91D424-B561-4009-AC20-AEB1E1418BED}"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32" name="Rectangle 31">
              <a:extLst>
                <a:ext uri="{FF2B5EF4-FFF2-40B4-BE49-F238E27FC236}">
                  <a16:creationId xmlns:a16="http://schemas.microsoft.com/office/drawing/2014/main" id="{B5380576-6197-4D5A-BB85-5BEB0D3D2DB8}"/>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51DEEF0F-88D7-4794-8389-8419D6A31776}"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33" name="Rectangle 32">
              <a:extLst>
                <a:ext uri="{FF2B5EF4-FFF2-40B4-BE49-F238E27FC236}">
                  <a16:creationId xmlns:a16="http://schemas.microsoft.com/office/drawing/2014/main" id="{ADA35FC0-EC71-4A7F-B686-608CCFC84E24}"/>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C652FA06-7298-425B-80A4-2397A9E596ED}"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twoCellAnchor>
    <xdr:from>
      <xdr:col>9</xdr:col>
      <xdr:colOff>342900</xdr:colOff>
      <xdr:row>19</xdr:row>
      <xdr:rowOff>47625</xdr:rowOff>
    </xdr:from>
    <xdr:to>
      <xdr:col>11</xdr:col>
      <xdr:colOff>533400</xdr:colOff>
      <xdr:row>21</xdr:row>
      <xdr:rowOff>47625</xdr:rowOff>
    </xdr:to>
    <xdr:sp macro="" textlink="">
      <xdr:nvSpPr>
        <xdr:cNvPr id="42" name="Arrow: Right 41">
          <a:hlinkClick xmlns:r="http://schemas.openxmlformats.org/officeDocument/2006/relationships" r:id="rId10"/>
          <a:extLst>
            <a:ext uri="{FF2B5EF4-FFF2-40B4-BE49-F238E27FC236}">
              <a16:creationId xmlns:a16="http://schemas.microsoft.com/office/drawing/2014/main" id="{A8B637EF-77AC-4139-8EAA-802320AD11A8}"/>
            </a:ext>
          </a:extLst>
        </xdr:cNvPr>
        <xdr:cNvSpPr/>
      </xdr:nvSpPr>
      <xdr:spPr>
        <a:xfrm>
          <a:off x="6572250" y="561022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7</xdr:col>
      <xdr:colOff>28575</xdr:colOff>
      <xdr:row>19</xdr:row>
      <xdr:rowOff>47625</xdr:rowOff>
    </xdr:from>
    <xdr:to>
      <xdr:col>9</xdr:col>
      <xdr:colOff>219075</xdr:colOff>
      <xdr:row>21</xdr:row>
      <xdr:rowOff>47625</xdr:rowOff>
    </xdr:to>
    <xdr:sp macro="" textlink="">
      <xdr:nvSpPr>
        <xdr:cNvPr id="43" name="Arrow: Right 42">
          <a:hlinkClick xmlns:r="http://schemas.openxmlformats.org/officeDocument/2006/relationships" r:id="rId11"/>
          <a:extLst>
            <a:ext uri="{FF2B5EF4-FFF2-40B4-BE49-F238E27FC236}">
              <a16:creationId xmlns:a16="http://schemas.microsoft.com/office/drawing/2014/main" id="{A2207780-7345-4CB5-9632-3CF2EDDA1971}"/>
            </a:ext>
          </a:extLst>
        </xdr:cNvPr>
        <xdr:cNvSpPr/>
      </xdr:nvSpPr>
      <xdr:spPr>
        <a:xfrm flipH="1">
          <a:off x="4752975" y="561022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3" name="Picture 2">
          <a:extLst>
            <a:ext uri="{FF2B5EF4-FFF2-40B4-BE49-F238E27FC236}">
              <a16:creationId xmlns:a16="http://schemas.microsoft.com/office/drawing/2014/main" id="{48CDC8F8-62AE-41B2-8104-E3F414F3B0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21" name="Diagramm 7">
          <a:extLst>
            <a:ext uri="{FF2B5EF4-FFF2-40B4-BE49-F238E27FC236}">
              <a16:creationId xmlns:a16="http://schemas.microsoft.com/office/drawing/2014/main" id="{C6A97A88-2601-4A1A-9D70-FE36EC04AD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9525</xdr:colOff>
      <xdr:row>7</xdr:row>
      <xdr:rowOff>0</xdr:rowOff>
    </xdr:from>
    <xdr:to>
      <xdr:col>17</xdr:col>
      <xdr:colOff>190500</xdr:colOff>
      <xdr:row>10</xdr:row>
      <xdr:rowOff>76200</xdr:rowOff>
    </xdr:to>
    <xdr:sp macro="" textlink="">
      <xdr:nvSpPr>
        <xdr:cNvPr id="4" name="Rectangle: Rounded Corners 3">
          <a:extLst>
            <a:ext uri="{FF2B5EF4-FFF2-40B4-BE49-F238E27FC236}">
              <a16:creationId xmlns:a16="http://schemas.microsoft.com/office/drawing/2014/main" id="{970E5472-7158-461C-A9F4-BAB960AF2644}"/>
            </a:ext>
          </a:extLst>
        </xdr:cNvPr>
        <xdr:cNvSpPr/>
      </xdr:nvSpPr>
      <xdr:spPr>
        <a:xfrm>
          <a:off x="4733925" y="1647825"/>
          <a:ext cx="7705725" cy="942975"/>
        </a:xfrm>
        <a:prstGeom prst="roundRect">
          <a:avLst>
            <a:gd name="adj" fmla="val 7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spcAft>
              <a:spcPts val="600"/>
            </a:spcAft>
          </a:pPr>
          <a:r>
            <a:rPr lang="de-DE" sz="1200">
              <a:solidFill>
                <a:schemeClr val="tx2"/>
              </a:solidFill>
              <a:latin typeface="Century Gothic" panose="020B0502020202020204" pitchFamily="34" charset="0"/>
            </a:rPr>
            <a:t>Gib hier den </a:t>
          </a:r>
          <a:r>
            <a:rPr lang="de-DE" sz="1200" b="1">
              <a:solidFill>
                <a:schemeClr val="tx2"/>
              </a:solidFill>
              <a:latin typeface="Century Gothic" panose="020B0502020202020204" pitchFamily="34" charset="0"/>
            </a:rPr>
            <a:t>Kaufpreis</a:t>
          </a:r>
          <a:r>
            <a:rPr lang="de-DE" sz="1200">
              <a:solidFill>
                <a:schemeClr val="tx2"/>
              </a:solidFill>
              <a:latin typeface="Century Gothic" panose="020B0502020202020204" pitchFamily="34" charset="0"/>
            </a:rPr>
            <a:t> ein. Für die erste Berechnung kannst du am besten die Preisvorstellung des Verkäufers verwenden.</a:t>
          </a:r>
        </a:p>
        <a:p>
          <a:pPr algn="l">
            <a:lnSpc>
              <a:spcPct val="130000"/>
            </a:lnSpc>
            <a:spcAft>
              <a:spcPts val="600"/>
            </a:spcAft>
          </a:pPr>
          <a:r>
            <a:rPr lang="de-DE" sz="1200">
              <a:solidFill>
                <a:schemeClr val="tx2"/>
              </a:solidFill>
              <a:latin typeface="Century Gothic" panose="020B0502020202020204" pitchFamily="34" charset="0"/>
            </a:rPr>
            <a:t>Gib hier die </a:t>
          </a:r>
          <a:r>
            <a:rPr lang="de-DE" sz="1200" b="1" baseline="0">
              <a:solidFill>
                <a:schemeClr val="tx2"/>
              </a:solidFill>
              <a:latin typeface="Century Gothic" panose="020B0502020202020204" pitchFamily="34" charset="0"/>
            </a:rPr>
            <a:t>Kaltmiete </a:t>
          </a:r>
          <a:r>
            <a:rPr lang="de-DE" sz="1200" b="0" baseline="0">
              <a:solidFill>
                <a:schemeClr val="tx2"/>
              </a:solidFill>
              <a:latin typeface="Century Gothic" panose="020B0502020202020204" pitchFamily="34" charset="0"/>
            </a:rPr>
            <a:t>ein</a:t>
          </a:r>
          <a:r>
            <a:rPr lang="de-DE" sz="1200" baseline="0">
              <a:solidFill>
                <a:schemeClr val="tx2"/>
              </a:solidFill>
              <a:latin typeface="Century Gothic" panose="020B0502020202020204" pitchFamily="34" charset="0"/>
            </a:rPr>
            <a:t>, die du pro Monat insgesamt erwartest. </a:t>
          </a:r>
        </a:p>
      </xdr:txBody>
    </xdr:sp>
    <xdr:clientData/>
  </xdr:twoCellAnchor>
  <xdr:twoCellAnchor>
    <xdr:from>
      <xdr:col>7</xdr:col>
      <xdr:colOff>9525</xdr:colOff>
      <xdr:row>11</xdr:row>
      <xdr:rowOff>257176</xdr:rowOff>
    </xdr:from>
    <xdr:to>
      <xdr:col>17</xdr:col>
      <xdr:colOff>192375</xdr:colOff>
      <xdr:row>14</xdr:row>
      <xdr:rowOff>104775</xdr:rowOff>
    </xdr:to>
    <xdr:sp macro="" textlink="">
      <xdr:nvSpPr>
        <xdr:cNvPr id="33" name="Rectangle: Rounded Corners 32">
          <a:extLst>
            <a:ext uri="{FF2B5EF4-FFF2-40B4-BE49-F238E27FC236}">
              <a16:creationId xmlns:a16="http://schemas.microsoft.com/office/drawing/2014/main" id="{4D4E4D12-835C-4BA6-8172-7BBC2E2E21AA}"/>
            </a:ext>
          </a:extLst>
        </xdr:cNvPr>
        <xdr:cNvSpPr/>
      </xdr:nvSpPr>
      <xdr:spPr>
        <a:xfrm>
          <a:off x="4733925" y="2990851"/>
          <a:ext cx="7707600" cy="628649"/>
        </a:xfrm>
        <a:prstGeom prst="roundRect">
          <a:avLst>
            <a:gd name="adj" fmla="val 12180"/>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tlCol="0" anchor="t"/>
        <a:lstStyle/>
        <a:p>
          <a:pPr algn="l">
            <a:lnSpc>
              <a:spcPct val="130000"/>
            </a:lnSpc>
          </a:pPr>
          <a:r>
            <a:rPr lang="de-DE" sz="1200" baseline="0">
              <a:solidFill>
                <a:schemeClr val="tx2"/>
              </a:solidFill>
              <a:latin typeface="Century Gothic" panose="020B0502020202020204" pitchFamily="34" charset="0"/>
            </a:rPr>
            <a:t>Die Bruttomietrendite gibt dir ein erstes Gefühl dafür, ob die Wohnung zu diesem Kaufpreis eine lohnenswerte Geldanlage ist.</a:t>
          </a:r>
        </a:p>
      </xdr:txBody>
    </xdr:sp>
    <xdr:clientData/>
  </xdr:twoCellAnchor>
  <xdr:twoCellAnchor editAs="oneCell">
    <xdr:from>
      <xdr:col>7</xdr:col>
      <xdr:colOff>123826</xdr:colOff>
      <xdr:row>12</xdr:row>
      <xdr:rowOff>133351</xdr:rowOff>
    </xdr:from>
    <xdr:to>
      <xdr:col>7</xdr:col>
      <xdr:colOff>466726</xdr:colOff>
      <xdr:row>13</xdr:row>
      <xdr:rowOff>152401</xdr:rowOff>
    </xdr:to>
    <xdr:pic>
      <xdr:nvPicPr>
        <xdr:cNvPr id="38" name="Picture 37" descr="http://de.seaicons.com/wp-content/uploads/2015/11/15-Light-Bulb-icon.png">
          <a:extLst>
            <a:ext uri="{FF2B5EF4-FFF2-40B4-BE49-F238E27FC236}">
              <a16:creationId xmlns:a16="http://schemas.microsoft.com/office/drawing/2014/main" id="{3ABAE906-18BD-4B99-934F-F72C216B60F2}"/>
            </a:ext>
          </a:extLst>
        </xdr:cNvPr>
        <xdr:cNvPicPr>
          <a:picLocks noChangeAspect="1" noChangeArrowheads="1"/>
        </xdr:cNvPicPr>
      </xdr:nvPicPr>
      <xdr:blipFill>
        <a:blip xmlns:r="http://schemas.openxmlformats.org/officeDocument/2006/relationships" r:embed="rId3" cstate="print">
          <a:duotone>
            <a:prstClr val="black"/>
            <a:schemeClr val="tx2">
              <a:tint val="45000"/>
              <a:satMod val="400000"/>
            </a:schemeClr>
          </a:duotone>
          <a:extLst>
            <a:ext uri="{28A0092B-C50C-407E-A947-70E740481C1C}">
              <a14:useLocalDpi xmlns:a14="http://schemas.microsoft.com/office/drawing/2010/main" val="0"/>
            </a:ext>
          </a:extLst>
        </a:blip>
        <a:srcRect/>
        <a:stretch>
          <a:fillRect/>
        </a:stretch>
      </xdr:blipFill>
      <xdr:spPr bwMode="auto">
        <a:xfrm>
          <a:off x="4848226" y="3133726"/>
          <a:ext cx="34290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323850</xdr:colOff>
      <xdr:row>16</xdr:row>
      <xdr:rowOff>0</xdr:rowOff>
    </xdr:from>
    <xdr:to>
      <xdr:col>11</xdr:col>
      <xdr:colOff>514350</xdr:colOff>
      <xdr:row>18</xdr:row>
      <xdr:rowOff>0</xdr:rowOff>
    </xdr:to>
    <xdr:sp macro="" textlink="">
      <xdr:nvSpPr>
        <xdr:cNvPr id="39" name="Arrow: Right 38">
          <a:hlinkClick xmlns:r="http://schemas.openxmlformats.org/officeDocument/2006/relationships" r:id="rId4"/>
          <a:extLst>
            <a:ext uri="{FF2B5EF4-FFF2-40B4-BE49-F238E27FC236}">
              <a16:creationId xmlns:a16="http://schemas.microsoft.com/office/drawing/2014/main" id="{14669D30-3331-4186-9FCF-155A7CDF280D}"/>
            </a:ext>
          </a:extLst>
        </xdr:cNvPr>
        <xdr:cNvSpPr/>
      </xdr:nvSpPr>
      <xdr:spPr>
        <a:xfrm>
          <a:off x="6553200" y="389572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7</xdr:col>
      <xdr:colOff>9525</xdr:colOff>
      <xdr:row>16</xdr:row>
      <xdr:rowOff>0</xdr:rowOff>
    </xdr:from>
    <xdr:to>
      <xdr:col>9</xdr:col>
      <xdr:colOff>200025</xdr:colOff>
      <xdr:row>18</xdr:row>
      <xdr:rowOff>0</xdr:rowOff>
    </xdr:to>
    <xdr:sp macro="" textlink="">
      <xdr:nvSpPr>
        <xdr:cNvPr id="41" name="Arrow: Right 40">
          <a:hlinkClick xmlns:r="http://schemas.openxmlformats.org/officeDocument/2006/relationships" r:id="rId5"/>
          <a:extLst>
            <a:ext uri="{FF2B5EF4-FFF2-40B4-BE49-F238E27FC236}">
              <a16:creationId xmlns:a16="http://schemas.microsoft.com/office/drawing/2014/main" id="{925922ED-EF4B-4609-92C9-1F722EFB3C80}"/>
            </a:ext>
          </a:extLst>
        </xdr:cNvPr>
        <xdr:cNvSpPr/>
      </xdr:nvSpPr>
      <xdr:spPr>
        <a:xfrm flipH="1">
          <a:off x="4733925" y="389572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4</xdr:col>
      <xdr:colOff>85725</xdr:colOff>
      <xdr:row>0</xdr:row>
      <xdr:rowOff>133350</xdr:rowOff>
    </xdr:from>
    <xdr:to>
      <xdr:col>17</xdr:col>
      <xdr:colOff>266700</xdr:colOff>
      <xdr:row>2</xdr:row>
      <xdr:rowOff>29325</xdr:rowOff>
    </xdr:to>
    <xdr:grpSp>
      <xdr:nvGrpSpPr>
        <xdr:cNvPr id="75" name="Group 74">
          <a:extLst>
            <a:ext uri="{FF2B5EF4-FFF2-40B4-BE49-F238E27FC236}">
              <a16:creationId xmlns:a16="http://schemas.microsoft.com/office/drawing/2014/main" id="{9EDC5DCE-2EE1-4305-BEAF-CAB04A9032B9}"/>
            </a:ext>
          </a:extLst>
        </xdr:cNvPr>
        <xdr:cNvGrpSpPr/>
      </xdr:nvGrpSpPr>
      <xdr:grpSpPr>
        <a:xfrm>
          <a:off x="3375025" y="133350"/>
          <a:ext cx="10937875" cy="238875"/>
          <a:chOff x="2952750" y="137737"/>
          <a:chExt cx="9563100" cy="248400"/>
        </a:xfrm>
      </xdr:grpSpPr>
      <xdr:sp macro="" textlink="">
        <xdr:nvSpPr>
          <xdr:cNvPr id="76" name="Rectangle 75">
            <a:hlinkClick xmlns:r="http://schemas.openxmlformats.org/officeDocument/2006/relationships" r:id="rId4"/>
            <a:extLst>
              <a:ext uri="{FF2B5EF4-FFF2-40B4-BE49-F238E27FC236}">
                <a16:creationId xmlns:a16="http://schemas.microsoft.com/office/drawing/2014/main" id="{4833DB40-522A-43F6-BEB9-57A631959E7E}"/>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Kaufnebenkosten</a:t>
            </a:r>
          </a:p>
        </xdr:txBody>
      </xdr:sp>
      <xdr:sp macro="" textlink="">
        <xdr:nvSpPr>
          <xdr:cNvPr id="77" name="Rectangle 76">
            <a:hlinkClick xmlns:r="http://schemas.openxmlformats.org/officeDocument/2006/relationships" r:id="rId6"/>
            <a:extLst>
              <a:ext uri="{FF2B5EF4-FFF2-40B4-BE49-F238E27FC236}">
                <a16:creationId xmlns:a16="http://schemas.microsoft.com/office/drawing/2014/main" id="{C8A0949D-98E5-4D61-A13F-28C140E6EAD3}"/>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Maßnahmen</a:t>
            </a:r>
          </a:p>
        </xdr:txBody>
      </xdr:sp>
      <xdr:sp macro="" textlink="">
        <xdr:nvSpPr>
          <xdr:cNvPr id="78" name="Rectangle 77">
            <a:hlinkClick xmlns:r="http://schemas.openxmlformats.org/officeDocument/2006/relationships" r:id="rId7"/>
            <a:extLst>
              <a:ext uri="{FF2B5EF4-FFF2-40B4-BE49-F238E27FC236}">
                <a16:creationId xmlns:a16="http://schemas.microsoft.com/office/drawing/2014/main" id="{B463234A-A08A-49D2-9DFC-BA4A82A22840}"/>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Finanzierung</a:t>
            </a:r>
          </a:p>
        </xdr:txBody>
      </xdr:sp>
      <xdr:sp macro="" textlink="">
        <xdr:nvSpPr>
          <xdr:cNvPr id="79" name="Rectangle 78">
            <a:hlinkClick xmlns:r="http://schemas.openxmlformats.org/officeDocument/2006/relationships" r:id="rId8"/>
            <a:extLst>
              <a:ext uri="{FF2B5EF4-FFF2-40B4-BE49-F238E27FC236}">
                <a16:creationId xmlns:a16="http://schemas.microsoft.com/office/drawing/2014/main" id="{A5F49099-80BE-4422-9C65-CB6298015508}"/>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Hausgeld &amp;</a:t>
            </a:r>
            <a:r>
              <a:rPr lang="de-DE" sz="1050" baseline="0">
                <a:solidFill>
                  <a:schemeClr val="bg1"/>
                </a:solidFill>
                <a:latin typeface="+mn-lt"/>
              </a:rPr>
              <a:t> Rücklagen</a:t>
            </a:r>
            <a:endParaRPr lang="de-DE" sz="1050">
              <a:solidFill>
                <a:schemeClr val="bg1"/>
              </a:solidFill>
              <a:latin typeface="+mn-lt"/>
            </a:endParaRPr>
          </a:p>
        </xdr:txBody>
      </xdr:sp>
      <xdr:sp macro="" textlink="">
        <xdr:nvSpPr>
          <xdr:cNvPr id="80" name="Rectangle 79">
            <a:hlinkClick xmlns:r="http://schemas.openxmlformats.org/officeDocument/2006/relationships" r:id="rId9"/>
            <a:extLst>
              <a:ext uri="{FF2B5EF4-FFF2-40B4-BE49-F238E27FC236}">
                <a16:creationId xmlns:a16="http://schemas.microsoft.com/office/drawing/2014/main" id="{1BA129F6-72EA-4550-9B74-4C83EC5C91F6}"/>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Zinsrisiko</a:t>
            </a:r>
          </a:p>
        </xdr:txBody>
      </xdr:sp>
      <xdr:sp macro="" textlink="">
        <xdr:nvSpPr>
          <xdr:cNvPr id="81" name="Rectangle 80">
            <a:hlinkClick xmlns:r="http://schemas.openxmlformats.org/officeDocument/2006/relationships" r:id="rId10"/>
            <a:extLst>
              <a:ext uri="{FF2B5EF4-FFF2-40B4-BE49-F238E27FC236}">
                <a16:creationId xmlns:a16="http://schemas.microsoft.com/office/drawing/2014/main" id="{5C86D1CD-8AA2-4AE5-AF08-B15E92A8EDF9}"/>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Steuern</a:t>
            </a:r>
          </a:p>
        </xdr:txBody>
      </xdr:sp>
      <xdr:sp macro="" textlink="">
        <xdr:nvSpPr>
          <xdr:cNvPr id="82" name="Rectangle 81">
            <a:hlinkClick xmlns:r="http://schemas.openxmlformats.org/officeDocument/2006/relationships" r:id="rId11"/>
            <a:extLst>
              <a:ext uri="{FF2B5EF4-FFF2-40B4-BE49-F238E27FC236}">
                <a16:creationId xmlns:a16="http://schemas.microsoft.com/office/drawing/2014/main" id="{0170A5D8-CB06-4A2A-B0C1-F4FFD3BF049B}"/>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83" name="Rectangle 82">
            <a:extLst>
              <a:ext uri="{FF2B5EF4-FFF2-40B4-BE49-F238E27FC236}">
                <a16:creationId xmlns:a16="http://schemas.microsoft.com/office/drawing/2014/main" id="{4065D5A3-597F-4A7A-8DC8-010558FC34B9}"/>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84" name="Rectangle 83">
            <a:extLst>
              <a:ext uri="{FF2B5EF4-FFF2-40B4-BE49-F238E27FC236}">
                <a16:creationId xmlns:a16="http://schemas.microsoft.com/office/drawing/2014/main" id="{441FC0E6-DFC1-4414-AFF5-204F0CFC6A5A}"/>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85" name="Rectangle 84">
            <a:extLst>
              <a:ext uri="{FF2B5EF4-FFF2-40B4-BE49-F238E27FC236}">
                <a16:creationId xmlns:a16="http://schemas.microsoft.com/office/drawing/2014/main" id="{186B71A7-3AAD-4F48-91EE-2B406D14E483}"/>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86" name="Rectangle 85">
            <a:extLst>
              <a:ext uri="{FF2B5EF4-FFF2-40B4-BE49-F238E27FC236}">
                <a16:creationId xmlns:a16="http://schemas.microsoft.com/office/drawing/2014/main" id="{C31A4C93-5CA4-4661-AEC0-6C74F46E14C7}"/>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87" name="Rectangle 86">
            <a:extLst>
              <a:ext uri="{FF2B5EF4-FFF2-40B4-BE49-F238E27FC236}">
                <a16:creationId xmlns:a16="http://schemas.microsoft.com/office/drawing/2014/main" id="{F5EC2961-9F8C-4D65-BBC9-3E464F1337EB}"/>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88" name="Rectangle 87">
            <a:extLst>
              <a:ext uri="{FF2B5EF4-FFF2-40B4-BE49-F238E27FC236}">
                <a16:creationId xmlns:a16="http://schemas.microsoft.com/office/drawing/2014/main" id="{7EE1F58E-4AC3-4CC2-AD59-AFECDF639061}"/>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89" name="Rectangle 88">
            <a:extLst>
              <a:ext uri="{FF2B5EF4-FFF2-40B4-BE49-F238E27FC236}">
                <a16:creationId xmlns:a16="http://schemas.microsoft.com/office/drawing/2014/main" id="{8117C896-1569-4F08-95C2-9DC59AD46D16}"/>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90" name="Rectangle: Rounded Corners 89">
            <a:hlinkClick xmlns:r="http://schemas.openxmlformats.org/officeDocument/2006/relationships" r:id="rId12"/>
            <a:extLst>
              <a:ext uri="{FF2B5EF4-FFF2-40B4-BE49-F238E27FC236}">
                <a16:creationId xmlns:a16="http://schemas.microsoft.com/office/drawing/2014/main" id="{6DE53561-4E72-467E-AC19-CD5B5E61F5B9}"/>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sng">
                <a:solidFill>
                  <a:schemeClr val="bg1"/>
                </a:solidFill>
                <a:latin typeface="+mn-lt"/>
              </a:rPr>
              <a:t>Kaufpreis und Miete</a:t>
            </a:r>
          </a:p>
        </xdr:txBody>
      </xdr:sp>
      <xdr:sp macro="" textlink="">
        <xdr:nvSpPr>
          <xdr:cNvPr id="91" name="Rectangle 90">
            <a:extLst>
              <a:ext uri="{FF2B5EF4-FFF2-40B4-BE49-F238E27FC236}">
                <a16:creationId xmlns:a16="http://schemas.microsoft.com/office/drawing/2014/main" id="{46A40AAA-7BC0-4E3B-94BC-5E245FC12466}"/>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92" name="Rectangle: Rounded Corners 91">
            <a:hlinkClick xmlns:r="http://schemas.openxmlformats.org/officeDocument/2006/relationships" r:id="rId13"/>
            <a:extLst>
              <a:ext uri="{FF2B5EF4-FFF2-40B4-BE49-F238E27FC236}">
                <a16:creationId xmlns:a16="http://schemas.microsoft.com/office/drawing/2014/main" id="{DF9222FB-A03D-48B8-90D4-C620152A71FD}"/>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590550</xdr:colOff>
      <xdr:row>3</xdr:row>
      <xdr:rowOff>142875</xdr:rowOff>
    </xdr:from>
    <xdr:to>
      <xdr:col>17</xdr:col>
      <xdr:colOff>228032</xdr:colOff>
      <xdr:row>5</xdr:row>
      <xdr:rowOff>246460</xdr:rowOff>
    </xdr:to>
    <xdr:grpSp>
      <xdr:nvGrpSpPr>
        <xdr:cNvPr id="42" name="Group 41">
          <a:extLst>
            <a:ext uri="{FF2B5EF4-FFF2-40B4-BE49-F238E27FC236}">
              <a16:creationId xmlns:a16="http://schemas.microsoft.com/office/drawing/2014/main" id="{4ED0F51D-ED11-41EF-8439-EFCAAE578D47}"/>
            </a:ext>
          </a:extLst>
        </xdr:cNvPr>
        <xdr:cNvGrpSpPr/>
      </xdr:nvGrpSpPr>
      <xdr:grpSpPr>
        <a:xfrm>
          <a:off x="5302250" y="638175"/>
          <a:ext cx="8971982" cy="560785"/>
          <a:chOff x="4705350" y="652463"/>
          <a:chExt cx="7771832" cy="579835"/>
        </a:xfrm>
      </xdr:grpSpPr>
      <xdr:grpSp>
        <xdr:nvGrpSpPr>
          <xdr:cNvPr id="43" name="Group 42">
            <a:extLst>
              <a:ext uri="{FF2B5EF4-FFF2-40B4-BE49-F238E27FC236}">
                <a16:creationId xmlns:a16="http://schemas.microsoft.com/office/drawing/2014/main" id="{94D4482A-A47E-4BD7-9846-3D7952E881C2}"/>
              </a:ext>
            </a:extLst>
          </xdr:cNvPr>
          <xdr:cNvGrpSpPr/>
        </xdr:nvGrpSpPr>
        <xdr:grpSpPr>
          <a:xfrm>
            <a:off x="4705350" y="652463"/>
            <a:ext cx="7771832" cy="257175"/>
            <a:chOff x="4705350" y="642938"/>
            <a:chExt cx="7771832" cy="257175"/>
          </a:xfrm>
        </xdr:grpSpPr>
        <xdr:sp macro="" textlink="">
          <xdr:nvSpPr>
            <xdr:cNvPr id="54" name="Rectangle 53">
              <a:extLst>
                <a:ext uri="{FF2B5EF4-FFF2-40B4-BE49-F238E27FC236}">
                  <a16:creationId xmlns:a16="http://schemas.microsoft.com/office/drawing/2014/main" id="{4ED8411E-0FD9-44AD-8EA0-BB4D2038DCE7}"/>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55" name="Rectangle 54">
              <a:extLst>
                <a:ext uri="{FF2B5EF4-FFF2-40B4-BE49-F238E27FC236}">
                  <a16:creationId xmlns:a16="http://schemas.microsoft.com/office/drawing/2014/main" id="{06C99CFB-257B-42F1-AE98-489C5D892DCA}"/>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56" name="Rectangle 55">
              <a:extLst>
                <a:ext uri="{FF2B5EF4-FFF2-40B4-BE49-F238E27FC236}">
                  <a16:creationId xmlns:a16="http://schemas.microsoft.com/office/drawing/2014/main" id="{CC01CB53-1861-45E6-886A-B69A1573B167}"/>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57" name="Rectangle 56">
              <a:extLst>
                <a:ext uri="{FF2B5EF4-FFF2-40B4-BE49-F238E27FC236}">
                  <a16:creationId xmlns:a16="http://schemas.microsoft.com/office/drawing/2014/main" id="{FEDCA5B1-AA13-4641-B162-AEB226DC52AC}"/>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A533A9EF-5A67-4AC7-96A8-B1FCEB797A3B}"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58" name="Rectangle 57">
              <a:extLst>
                <a:ext uri="{FF2B5EF4-FFF2-40B4-BE49-F238E27FC236}">
                  <a16:creationId xmlns:a16="http://schemas.microsoft.com/office/drawing/2014/main" id="{53AD6C7B-AB3D-4DE7-9566-2564B71F738C}"/>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936F5D9D-82EA-49A6-A64A-C38A018B514F}"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59" name="Rectangle 58">
              <a:extLst>
                <a:ext uri="{FF2B5EF4-FFF2-40B4-BE49-F238E27FC236}">
                  <a16:creationId xmlns:a16="http://schemas.microsoft.com/office/drawing/2014/main" id="{02B9AA33-09DA-4AAF-BD05-7EEB6D35B9C3}"/>
                </a:ext>
              </a:extLst>
            </xdr:cNvPr>
            <xdr:cNvSpPr/>
          </xdr:nvSpPr>
          <xdr:spPr>
            <a:xfrm>
              <a:off x="11287125" y="642938"/>
              <a:ext cx="1190057"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4F513B56-1D98-427C-9F94-C2A2641EB95E}"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44" name="Group 43">
            <a:extLst>
              <a:ext uri="{FF2B5EF4-FFF2-40B4-BE49-F238E27FC236}">
                <a16:creationId xmlns:a16="http://schemas.microsoft.com/office/drawing/2014/main" id="{C1B93755-04FA-48B0-A2F2-E6B2430EB6AC}"/>
              </a:ext>
            </a:extLst>
          </xdr:cNvPr>
          <xdr:cNvGrpSpPr/>
        </xdr:nvGrpSpPr>
        <xdr:grpSpPr>
          <a:xfrm>
            <a:off x="4705350" y="975123"/>
            <a:ext cx="7771832" cy="257175"/>
            <a:chOff x="4705350" y="975123"/>
            <a:chExt cx="7771832" cy="257175"/>
          </a:xfrm>
        </xdr:grpSpPr>
        <xdr:sp macro="" textlink="">
          <xdr:nvSpPr>
            <xdr:cNvPr id="45" name="Rectangle 44">
              <a:extLst>
                <a:ext uri="{FF2B5EF4-FFF2-40B4-BE49-F238E27FC236}">
                  <a16:creationId xmlns:a16="http://schemas.microsoft.com/office/drawing/2014/main" id="{8F49B5AA-327A-4286-AE52-1C06529AF9D3}"/>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46" name="Rectangle 45">
              <a:extLst>
                <a:ext uri="{FF2B5EF4-FFF2-40B4-BE49-F238E27FC236}">
                  <a16:creationId xmlns:a16="http://schemas.microsoft.com/office/drawing/2014/main" id="{9E44D721-2658-40B9-9BED-360FE082FC1B}"/>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47" name="Rectangle 46">
              <a:extLst>
                <a:ext uri="{FF2B5EF4-FFF2-40B4-BE49-F238E27FC236}">
                  <a16:creationId xmlns:a16="http://schemas.microsoft.com/office/drawing/2014/main" id="{9FC5A8B2-A28A-477D-A17A-61EA9D2DE1F8}"/>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50" name="Rectangle 49">
              <a:extLst>
                <a:ext uri="{FF2B5EF4-FFF2-40B4-BE49-F238E27FC236}">
                  <a16:creationId xmlns:a16="http://schemas.microsoft.com/office/drawing/2014/main" id="{7DEF844B-ACCE-4E9C-AD8E-505FCF457BED}"/>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1CB2B8B7-280F-4D0C-B148-54FE18C84118}"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52" name="Rectangle 51">
              <a:extLst>
                <a:ext uri="{FF2B5EF4-FFF2-40B4-BE49-F238E27FC236}">
                  <a16:creationId xmlns:a16="http://schemas.microsoft.com/office/drawing/2014/main" id="{069B4CB5-92D4-43D2-B121-05BB435BFBED}"/>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2F05D8BA-A981-46FD-9BD1-92D62F9B70F5}"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53" name="Rectangle 52">
              <a:extLst>
                <a:ext uri="{FF2B5EF4-FFF2-40B4-BE49-F238E27FC236}">
                  <a16:creationId xmlns:a16="http://schemas.microsoft.com/office/drawing/2014/main" id="{99068FB5-6FD7-46BA-9692-82CA3E45A002}"/>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3488A5C6-B125-4022-A828-F06F75A6B701}"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AC82660C-DF17-4F41-A81D-3D73505AE9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1EA7842D-15DA-4112-B924-886820CE221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9525</xdr:colOff>
      <xdr:row>7</xdr:row>
      <xdr:rowOff>0</xdr:rowOff>
    </xdr:from>
    <xdr:to>
      <xdr:col>17</xdr:col>
      <xdr:colOff>190500</xdr:colOff>
      <xdr:row>9</xdr:row>
      <xdr:rowOff>76200</xdr:rowOff>
    </xdr:to>
    <xdr:sp macro="" textlink="">
      <xdr:nvSpPr>
        <xdr:cNvPr id="12" name="Rectangle: Rounded Corners 11">
          <a:extLst>
            <a:ext uri="{FF2B5EF4-FFF2-40B4-BE49-F238E27FC236}">
              <a16:creationId xmlns:a16="http://schemas.microsoft.com/office/drawing/2014/main" id="{E423D096-9F33-4F78-882D-F55D718AAA56}"/>
            </a:ext>
          </a:extLst>
        </xdr:cNvPr>
        <xdr:cNvSpPr/>
      </xdr:nvSpPr>
      <xdr:spPr>
        <a:xfrm>
          <a:off x="4733925" y="1647825"/>
          <a:ext cx="7705725" cy="619125"/>
        </a:xfrm>
        <a:prstGeom prst="roundRect">
          <a:avLst>
            <a:gd name="adj" fmla="val 7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pPr>
          <a:r>
            <a:rPr lang="de-DE" sz="1200">
              <a:solidFill>
                <a:schemeClr val="tx2"/>
              </a:solidFill>
              <a:latin typeface="Century Gothic" panose="020B0502020202020204" pitchFamily="34" charset="0"/>
            </a:rPr>
            <a:t>Wähle das </a:t>
          </a:r>
          <a:r>
            <a:rPr lang="de-DE" sz="1200" b="1">
              <a:solidFill>
                <a:schemeClr val="tx2"/>
              </a:solidFill>
              <a:latin typeface="Century Gothic" panose="020B0502020202020204" pitchFamily="34" charset="0"/>
            </a:rPr>
            <a:t>Bundesland</a:t>
          </a:r>
          <a:r>
            <a:rPr lang="de-DE" sz="1200">
              <a:solidFill>
                <a:schemeClr val="tx2"/>
              </a:solidFill>
              <a:latin typeface="Century Gothic" panose="020B0502020202020204" pitchFamily="34" charset="0"/>
            </a:rPr>
            <a:t> aus,</a:t>
          </a:r>
          <a:r>
            <a:rPr lang="de-DE" sz="1200" baseline="0">
              <a:solidFill>
                <a:schemeClr val="tx2"/>
              </a:solidFill>
              <a:latin typeface="Century Gothic" panose="020B0502020202020204" pitchFamily="34" charset="0"/>
            </a:rPr>
            <a:t> in dem die Wohnung liegt. Das Tool ermittelt daraus die jeweils gültige Grunderwerbsteuer.</a:t>
          </a:r>
        </a:p>
      </xdr:txBody>
    </xdr:sp>
    <xdr:clientData/>
  </xdr:twoCellAnchor>
  <xdr:twoCellAnchor>
    <xdr:from>
      <xdr:col>9</xdr:col>
      <xdr:colOff>323850</xdr:colOff>
      <xdr:row>19</xdr:row>
      <xdr:rowOff>28575</xdr:rowOff>
    </xdr:from>
    <xdr:to>
      <xdr:col>11</xdr:col>
      <xdr:colOff>514350</xdr:colOff>
      <xdr:row>20</xdr:row>
      <xdr:rowOff>85725</xdr:rowOff>
    </xdr:to>
    <xdr:sp macro="" textlink="">
      <xdr:nvSpPr>
        <xdr:cNvPr id="14" name="Arrow: Right 13">
          <a:hlinkClick xmlns:r="http://schemas.openxmlformats.org/officeDocument/2006/relationships" r:id="rId3"/>
          <a:extLst>
            <a:ext uri="{FF2B5EF4-FFF2-40B4-BE49-F238E27FC236}">
              <a16:creationId xmlns:a16="http://schemas.microsoft.com/office/drawing/2014/main" id="{68FFE890-239B-447D-867C-EF64FC408D80}"/>
            </a:ext>
          </a:extLst>
        </xdr:cNvPr>
        <xdr:cNvSpPr/>
      </xdr:nvSpPr>
      <xdr:spPr>
        <a:xfrm>
          <a:off x="6553200" y="493395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7</xdr:col>
      <xdr:colOff>9525</xdr:colOff>
      <xdr:row>11</xdr:row>
      <xdr:rowOff>1</xdr:rowOff>
    </xdr:from>
    <xdr:to>
      <xdr:col>17</xdr:col>
      <xdr:colOff>190500</xdr:colOff>
      <xdr:row>18</xdr:row>
      <xdr:rowOff>0</xdr:rowOff>
    </xdr:to>
    <xdr:sp macro="" textlink="">
      <xdr:nvSpPr>
        <xdr:cNvPr id="39" name="Rectangle: Rounded Corners 38">
          <a:extLst>
            <a:ext uri="{FF2B5EF4-FFF2-40B4-BE49-F238E27FC236}">
              <a16:creationId xmlns:a16="http://schemas.microsoft.com/office/drawing/2014/main" id="{61A81884-8BAE-451C-9DE9-79D7C185A262}"/>
            </a:ext>
          </a:extLst>
        </xdr:cNvPr>
        <xdr:cNvSpPr/>
      </xdr:nvSpPr>
      <xdr:spPr>
        <a:xfrm>
          <a:off x="4733925" y="2733676"/>
          <a:ext cx="7705725" cy="1952624"/>
        </a:xfrm>
        <a:prstGeom prst="roundRect">
          <a:avLst>
            <a:gd name="adj" fmla="val 2270"/>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pPr>
          <a:r>
            <a:rPr lang="de-DE" sz="1200">
              <a:solidFill>
                <a:schemeClr val="tx2"/>
              </a:solidFill>
              <a:latin typeface="Century Gothic" panose="020B0502020202020204" pitchFamily="34" charset="0"/>
            </a:rPr>
            <a:t>Gib die </a:t>
          </a:r>
          <a:r>
            <a:rPr lang="de-DE" sz="1200" b="1">
              <a:solidFill>
                <a:schemeClr val="tx2"/>
              </a:solidFill>
              <a:latin typeface="Century Gothic" panose="020B0502020202020204" pitchFamily="34" charset="0"/>
            </a:rPr>
            <a:t>Makler</a:t>
          </a:r>
          <a:r>
            <a:rPr lang="de-DE" sz="1200">
              <a:solidFill>
                <a:schemeClr val="tx2"/>
              </a:solidFill>
              <a:latin typeface="Century Gothic" panose="020B0502020202020204" pitchFamily="34" charset="0"/>
            </a:rPr>
            <a:t>-Provision (inkl. Umsatzsteuer) ein. Ist kein Makler involviert, trage 0% ein.</a:t>
          </a:r>
          <a:br>
            <a:rPr lang="de-DE" sz="1200">
              <a:solidFill>
                <a:schemeClr val="tx2"/>
              </a:solidFill>
              <a:latin typeface="Century Gothic" panose="020B0502020202020204" pitchFamily="34" charset="0"/>
            </a:rPr>
          </a:br>
          <a:br>
            <a:rPr lang="de-DE" sz="1200">
              <a:solidFill>
                <a:schemeClr val="tx2"/>
              </a:solidFill>
              <a:latin typeface="Century Gothic" panose="020B0502020202020204" pitchFamily="34" charset="0"/>
            </a:rPr>
          </a:br>
          <a:r>
            <a:rPr lang="de-DE" sz="1200">
              <a:solidFill>
                <a:schemeClr val="tx2"/>
              </a:solidFill>
              <a:latin typeface="Century Gothic" panose="020B0502020202020204" pitchFamily="34" charset="0"/>
            </a:rPr>
            <a:t>Gib </a:t>
          </a:r>
          <a:r>
            <a:rPr lang="de-DE" sz="1200" b="1">
              <a:solidFill>
                <a:schemeClr val="tx2"/>
              </a:solidFill>
              <a:latin typeface="Century Gothic" panose="020B0502020202020204" pitchFamily="34" charset="0"/>
            </a:rPr>
            <a:t>Notar</a:t>
          </a:r>
          <a:r>
            <a:rPr lang="de-DE" sz="1200">
              <a:solidFill>
                <a:schemeClr val="tx2"/>
              </a:solidFill>
              <a:latin typeface="Century Gothic" panose="020B0502020202020204" pitchFamily="34" charset="0"/>
            </a:rPr>
            <a:t>-Gebühren ein. Für eine kleine Wohnug sind 1,5% des Kaufpreises eine gute Näherung.</a:t>
          </a:r>
          <a:br>
            <a:rPr lang="de-DE" sz="1200">
              <a:solidFill>
                <a:schemeClr val="tx2"/>
              </a:solidFill>
              <a:latin typeface="Century Gothic" panose="020B0502020202020204" pitchFamily="34" charset="0"/>
            </a:rPr>
          </a:br>
          <a:br>
            <a:rPr lang="de-DE" sz="1200">
              <a:solidFill>
                <a:schemeClr val="tx2"/>
              </a:solidFill>
              <a:latin typeface="Century Gothic" panose="020B0502020202020204" pitchFamily="34" charset="0"/>
            </a:rPr>
          </a:br>
          <a:r>
            <a:rPr lang="de-DE" sz="1200">
              <a:solidFill>
                <a:schemeClr val="tx2"/>
              </a:solidFill>
              <a:latin typeface="Century Gothic" panose="020B0502020202020204" pitchFamily="34" charset="0"/>
            </a:rPr>
            <a:t>Gib </a:t>
          </a:r>
          <a:r>
            <a:rPr lang="de-DE" sz="1200" b="1">
              <a:solidFill>
                <a:schemeClr val="tx2"/>
              </a:solidFill>
              <a:latin typeface="Century Gothic" panose="020B0502020202020204" pitchFamily="34" charset="0"/>
            </a:rPr>
            <a:t>Grundbuch</a:t>
          </a:r>
          <a:r>
            <a:rPr lang="de-DE" sz="1200">
              <a:solidFill>
                <a:schemeClr val="tx2"/>
              </a:solidFill>
              <a:latin typeface="Century Gothic" panose="020B0502020202020204" pitchFamily="34" charset="0"/>
            </a:rPr>
            <a:t>-Gebühren ein. 0,5% des Kaufpreises sind meistens eine gute Näherung.</a:t>
          </a:r>
          <a:br>
            <a:rPr lang="de-DE" sz="1200">
              <a:solidFill>
                <a:schemeClr val="tx2"/>
              </a:solidFill>
              <a:latin typeface="Century Gothic" panose="020B0502020202020204" pitchFamily="34" charset="0"/>
            </a:rPr>
          </a:br>
          <a:endParaRPr lang="de-DE" sz="1200">
            <a:solidFill>
              <a:schemeClr val="tx2"/>
            </a:solidFill>
            <a:latin typeface="Century Gothic" panose="020B0502020202020204" pitchFamily="34" charset="0"/>
          </a:endParaRPr>
        </a:p>
        <a:p>
          <a:pPr algn="l">
            <a:lnSpc>
              <a:spcPct val="130000"/>
            </a:lnSpc>
          </a:pPr>
          <a:r>
            <a:rPr lang="de-DE" sz="1200" b="1">
              <a:solidFill>
                <a:schemeClr val="tx2"/>
              </a:solidFill>
              <a:latin typeface="Century Gothic" panose="020B0502020202020204" pitchFamily="34" charset="0"/>
            </a:rPr>
            <a:t>Sonstige</a:t>
          </a:r>
          <a:r>
            <a:rPr lang="de-DE" sz="1200">
              <a:solidFill>
                <a:schemeClr val="tx2"/>
              </a:solidFill>
              <a:latin typeface="Century Gothic" panose="020B0502020202020204" pitchFamily="34" charset="0"/>
            </a:rPr>
            <a:t> Nebenkosten können zum Beispiel für eine Finanzierungsvermittlung anfallen.</a:t>
          </a:r>
        </a:p>
        <a:p>
          <a:pPr algn="l">
            <a:lnSpc>
              <a:spcPct val="130000"/>
            </a:lnSpc>
          </a:pPr>
          <a:endParaRPr lang="de-DE" sz="1200" baseline="0">
            <a:solidFill>
              <a:schemeClr val="tx2"/>
            </a:solidFill>
            <a:latin typeface="Century Gothic" panose="020B0502020202020204" pitchFamily="34" charset="0"/>
          </a:endParaRPr>
        </a:p>
      </xdr:txBody>
    </xdr:sp>
    <xdr:clientData/>
  </xdr:twoCellAnchor>
  <xdr:twoCellAnchor>
    <xdr:from>
      <xdr:col>7</xdr:col>
      <xdr:colOff>9525</xdr:colOff>
      <xdr:row>19</xdr:row>
      <xdr:rowOff>28575</xdr:rowOff>
    </xdr:from>
    <xdr:to>
      <xdr:col>9</xdr:col>
      <xdr:colOff>200025</xdr:colOff>
      <xdr:row>20</xdr:row>
      <xdr:rowOff>85725</xdr:rowOff>
    </xdr:to>
    <xdr:sp macro="" textlink="">
      <xdr:nvSpPr>
        <xdr:cNvPr id="43" name="Arrow: Right 42">
          <a:hlinkClick xmlns:r="http://schemas.openxmlformats.org/officeDocument/2006/relationships" r:id="rId4"/>
          <a:extLst>
            <a:ext uri="{FF2B5EF4-FFF2-40B4-BE49-F238E27FC236}">
              <a16:creationId xmlns:a16="http://schemas.microsoft.com/office/drawing/2014/main" id="{111B10AE-BB1B-4AD8-B4B0-956583B3BD0F}"/>
            </a:ext>
          </a:extLst>
        </xdr:cNvPr>
        <xdr:cNvSpPr/>
      </xdr:nvSpPr>
      <xdr:spPr>
        <a:xfrm flipH="1">
          <a:off x="4733925" y="493395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4</xdr:col>
      <xdr:colOff>85725</xdr:colOff>
      <xdr:row>0</xdr:row>
      <xdr:rowOff>142875</xdr:rowOff>
    </xdr:from>
    <xdr:to>
      <xdr:col>17</xdr:col>
      <xdr:colOff>266700</xdr:colOff>
      <xdr:row>2</xdr:row>
      <xdr:rowOff>38850</xdr:rowOff>
    </xdr:to>
    <xdr:grpSp>
      <xdr:nvGrpSpPr>
        <xdr:cNvPr id="40" name="Group 39">
          <a:extLst>
            <a:ext uri="{FF2B5EF4-FFF2-40B4-BE49-F238E27FC236}">
              <a16:creationId xmlns:a16="http://schemas.microsoft.com/office/drawing/2014/main" id="{D754E3EE-07D0-4E7E-942A-114F5A954D9E}"/>
            </a:ext>
          </a:extLst>
        </xdr:cNvPr>
        <xdr:cNvGrpSpPr/>
      </xdr:nvGrpSpPr>
      <xdr:grpSpPr>
        <a:xfrm>
          <a:off x="3375025" y="142875"/>
          <a:ext cx="10937875" cy="238875"/>
          <a:chOff x="2952750" y="137737"/>
          <a:chExt cx="9563100" cy="248400"/>
        </a:xfrm>
      </xdr:grpSpPr>
      <xdr:sp macro="" textlink="">
        <xdr:nvSpPr>
          <xdr:cNvPr id="41" name="Rectangle 40">
            <a:hlinkClick xmlns:r="http://schemas.openxmlformats.org/officeDocument/2006/relationships" r:id="rId5"/>
            <a:extLst>
              <a:ext uri="{FF2B5EF4-FFF2-40B4-BE49-F238E27FC236}">
                <a16:creationId xmlns:a16="http://schemas.microsoft.com/office/drawing/2014/main" id="{3C5E8963-324E-4C4F-AAAB-59683A072FA1}"/>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sng">
                <a:solidFill>
                  <a:schemeClr val="bg1"/>
                </a:solidFill>
                <a:latin typeface="+mn-lt"/>
              </a:rPr>
              <a:t>Kaufnebenkosten</a:t>
            </a:r>
          </a:p>
        </xdr:txBody>
      </xdr:sp>
      <xdr:sp macro="" textlink="">
        <xdr:nvSpPr>
          <xdr:cNvPr id="42" name="Rectangle 41">
            <a:hlinkClick xmlns:r="http://schemas.openxmlformats.org/officeDocument/2006/relationships" r:id="rId3"/>
            <a:extLst>
              <a:ext uri="{FF2B5EF4-FFF2-40B4-BE49-F238E27FC236}">
                <a16:creationId xmlns:a16="http://schemas.microsoft.com/office/drawing/2014/main" id="{CC2727D6-0ED8-450A-9232-8B99346FEB1F}"/>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Maßnahmen</a:t>
            </a:r>
          </a:p>
        </xdr:txBody>
      </xdr:sp>
      <xdr:sp macro="" textlink="">
        <xdr:nvSpPr>
          <xdr:cNvPr id="44" name="Rectangle 43">
            <a:hlinkClick xmlns:r="http://schemas.openxmlformats.org/officeDocument/2006/relationships" r:id="rId6"/>
            <a:extLst>
              <a:ext uri="{FF2B5EF4-FFF2-40B4-BE49-F238E27FC236}">
                <a16:creationId xmlns:a16="http://schemas.microsoft.com/office/drawing/2014/main" id="{FC0ADB95-BA40-462F-9073-88D3E72B404D}"/>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Finanzierung</a:t>
            </a:r>
          </a:p>
        </xdr:txBody>
      </xdr:sp>
      <xdr:sp macro="" textlink="">
        <xdr:nvSpPr>
          <xdr:cNvPr id="45" name="Rectangle 44">
            <a:hlinkClick xmlns:r="http://schemas.openxmlformats.org/officeDocument/2006/relationships" r:id="rId7"/>
            <a:extLst>
              <a:ext uri="{FF2B5EF4-FFF2-40B4-BE49-F238E27FC236}">
                <a16:creationId xmlns:a16="http://schemas.microsoft.com/office/drawing/2014/main" id="{9224B310-B6EE-4B68-B095-FCBB54D32BEC}"/>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Hausgeld &amp;</a:t>
            </a:r>
            <a:r>
              <a:rPr lang="de-DE" sz="1050" baseline="0">
                <a:solidFill>
                  <a:schemeClr val="bg1"/>
                </a:solidFill>
                <a:latin typeface="+mn-lt"/>
              </a:rPr>
              <a:t> Rücklagen</a:t>
            </a:r>
            <a:endParaRPr lang="de-DE" sz="1050">
              <a:solidFill>
                <a:schemeClr val="bg1"/>
              </a:solidFill>
              <a:latin typeface="+mn-lt"/>
            </a:endParaRPr>
          </a:p>
        </xdr:txBody>
      </xdr:sp>
      <xdr:sp macro="" textlink="">
        <xdr:nvSpPr>
          <xdr:cNvPr id="46" name="Rectangle 45">
            <a:hlinkClick xmlns:r="http://schemas.openxmlformats.org/officeDocument/2006/relationships" r:id="rId8"/>
            <a:extLst>
              <a:ext uri="{FF2B5EF4-FFF2-40B4-BE49-F238E27FC236}">
                <a16:creationId xmlns:a16="http://schemas.microsoft.com/office/drawing/2014/main" id="{BDE7A480-3FBE-42DD-AB49-49C8199DD111}"/>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Zinsrisiko</a:t>
            </a:r>
          </a:p>
        </xdr:txBody>
      </xdr:sp>
      <xdr:sp macro="" textlink="">
        <xdr:nvSpPr>
          <xdr:cNvPr id="47" name="Rectangle 46">
            <a:hlinkClick xmlns:r="http://schemas.openxmlformats.org/officeDocument/2006/relationships" r:id="rId9"/>
            <a:extLst>
              <a:ext uri="{FF2B5EF4-FFF2-40B4-BE49-F238E27FC236}">
                <a16:creationId xmlns:a16="http://schemas.microsoft.com/office/drawing/2014/main" id="{101760A4-A526-48A2-96DD-E6F61E3956FD}"/>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Steuern</a:t>
            </a:r>
          </a:p>
        </xdr:txBody>
      </xdr:sp>
      <xdr:sp macro="" textlink="">
        <xdr:nvSpPr>
          <xdr:cNvPr id="48" name="Rectangle 47">
            <a:hlinkClick xmlns:r="http://schemas.openxmlformats.org/officeDocument/2006/relationships" r:id="rId10"/>
            <a:extLst>
              <a:ext uri="{FF2B5EF4-FFF2-40B4-BE49-F238E27FC236}">
                <a16:creationId xmlns:a16="http://schemas.microsoft.com/office/drawing/2014/main" id="{F4B17E5D-6C21-4909-957B-7E8AD894ECDE}"/>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49" name="Rectangle 48">
            <a:extLst>
              <a:ext uri="{FF2B5EF4-FFF2-40B4-BE49-F238E27FC236}">
                <a16:creationId xmlns:a16="http://schemas.microsoft.com/office/drawing/2014/main" id="{60D1D3BA-DB42-4F6D-81A3-B20A742E34A0}"/>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0" name="Rectangle 49">
            <a:extLst>
              <a:ext uri="{FF2B5EF4-FFF2-40B4-BE49-F238E27FC236}">
                <a16:creationId xmlns:a16="http://schemas.microsoft.com/office/drawing/2014/main" id="{C363BAB2-2767-4B90-8E94-33970718EAE6}"/>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1" name="Rectangle 50">
            <a:extLst>
              <a:ext uri="{FF2B5EF4-FFF2-40B4-BE49-F238E27FC236}">
                <a16:creationId xmlns:a16="http://schemas.microsoft.com/office/drawing/2014/main" id="{2D06987A-04DA-460D-9720-481D4D9E8602}"/>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2" name="Rectangle 51">
            <a:extLst>
              <a:ext uri="{FF2B5EF4-FFF2-40B4-BE49-F238E27FC236}">
                <a16:creationId xmlns:a16="http://schemas.microsoft.com/office/drawing/2014/main" id="{14EB6237-FD73-460B-9588-6F2B562D0476}"/>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3" name="Rectangle 52">
            <a:extLst>
              <a:ext uri="{FF2B5EF4-FFF2-40B4-BE49-F238E27FC236}">
                <a16:creationId xmlns:a16="http://schemas.microsoft.com/office/drawing/2014/main" id="{681B7FF0-8D26-4FC7-BC8A-B4BFE8D293EC}"/>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4" name="Rectangle 53">
            <a:extLst>
              <a:ext uri="{FF2B5EF4-FFF2-40B4-BE49-F238E27FC236}">
                <a16:creationId xmlns:a16="http://schemas.microsoft.com/office/drawing/2014/main" id="{15920934-C58B-4808-9778-DF1F7E00743A}"/>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5" name="Rectangle 54">
            <a:extLst>
              <a:ext uri="{FF2B5EF4-FFF2-40B4-BE49-F238E27FC236}">
                <a16:creationId xmlns:a16="http://schemas.microsoft.com/office/drawing/2014/main" id="{8BF44343-EC04-4825-8C55-AB8B5EA623D0}"/>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6" name="Rectangle: Rounded Corners 55">
            <a:hlinkClick xmlns:r="http://schemas.openxmlformats.org/officeDocument/2006/relationships" r:id="rId4"/>
            <a:extLst>
              <a:ext uri="{FF2B5EF4-FFF2-40B4-BE49-F238E27FC236}">
                <a16:creationId xmlns:a16="http://schemas.microsoft.com/office/drawing/2014/main" id="{738D0BE2-FC48-43BA-9555-6AA2CC7C4D6E}"/>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57" name="Rectangle 56">
            <a:extLst>
              <a:ext uri="{FF2B5EF4-FFF2-40B4-BE49-F238E27FC236}">
                <a16:creationId xmlns:a16="http://schemas.microsoft.com/office/drawing/2014/main" id="{EE1E2DE8-1010-4B5E-8B75-DF6C00D3FE39}"/>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8" name="Rectangle: Rounded Corners 57">
            <a:hlinkClick xmlns:r="http://schemas.openxmlformats.org/officeDocument/2006/relationships" r:id="rId11"/>
            <a:extLst>
              <a:ext uri="{FF2B5EF4-FFF2-40B4-BE49-F238E27FC236}">
                <a16:creationId xmlns:a16="http://schemas.microsoft.com/office/drawing/2014/main" id="{F2CD8ECF-D39F-4E13-8D3A-E6CF0B00CBC1}"/>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590550</xdr:colOff>
      <xdr:row>3</xdr:row>
      <xdr:rowOff>142875</xdr:rowOff>
    </xdr:from>
    <xdr:to>
      <xdr:col>17</xdr:col>
      <xdr:colOff>228032</xdr:colOff>
      <xdr:row>5</xdr:row>
      <xdr:rowOff>246460</xdr:rowOff>
    </xdr:to>
    <xdr:grpSp>
      <xdr:nvGrpSpPr>
        <xdr:cNvPr id="59" name="Group 58">
          <a:extLst>
            <a:ext uri="{FF2B5EF4-FFF2-40B4-BE49-F238E27FC236}">
              <a16:creationId xmlns:a16="http://schemas.microsoft.com/office/drawing/2014/main" id="{F88B4BF7-F573-4B7A-82A0-B3A5F9583F8A}"/>
            </a:ext>
          </a:extLst>
        </xdr:cNvPr>
        <xdr:cNvGrpSpPr/>
      </xdr:nvGrpSpPr>
      <xdr:grpSpPr>
        <a:xfrm>
          <a:off x="5302250" y="638175"/>
          <a:ext cx="8971982" cy="560785"/>
          <a:chOff x="4705350" y="652463"/>
          <a:chExt cx="7771832" cy="579835"/>
        </a:xfrm>
      </xdr:grpSpPr>
      <xdr:grpSp>
        <xdr:nvGrpSpPr>
          <xdr:cNvPr id="60" name="Group 59">
            <a:extLst>
              <a:ext uri="{FF2B5EF4-FFF2-40B4-BE49-F238E27FC236}">
                <a16:creationId xmlns:a16="http://schemas.microsoft.com/office/drawing/2014/main" id="{DD4397F6-B4F6-41E5-8EB3-C4EC3DCE7F34}"/>
              </a:ext>
            </a:extLst>
          </xdr:cNvPr>
          <xdr:cNvGrpSpPr/>
        </xdr:nvGrpSpPr>
        <xdr:grpSpPr>
          <a:xfrm>
            <a:off x="4705350" y="652463"/>
            <a:ext cx="7771832" cy="257175"/>
            <a:chOff x="4705350" y="642938"/>
            <a:chExt cx="7771832" cy="257175"/>
          </a:xfrm>
        </xdr:grpSpPr>
        <xdr:sp macro="" textlink="">
          <xdr:nvSpPr>
            <xdr:cNvPr id="68" name="Rectangle 67">
              <a:extLst>
                <a:ext uri="{FF2B5EF4-FFF2-40B4-BE49-F238E27FC236}">
                  <a16:creationId xmlns:a16="http://schemas.microsoft.com/office/drawing/2014/main" id="{E32A07FA-9709-49E4-9586-35273D524AEB}"/>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69" name="Rectangle 68">
              <a:extLst>
                <a:ext uri="{FF2B5EF4-FFF2-40B4-BE49-F238E27FC236}">
                  <a16:creationId xmlns:a16="http://schemas.microsoft.com/office/drawing/2014/main" id="{4EF492D1-652C-4A4D-AC6D-7D37C6C83193}"/>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70" name="Rectangle 69">
              <a:extLst>
                <a:ext uri="{FF2B5EF4-FFF2-40B4-BE49-F238E27FC236}">
                  <a16:creationId xmlns:a16="http://schemas.microsoft.com/office/drawing/2014/main" id="{4332F2A7-413F-4F0C-8884-4B6C21243AB6}"/>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71" name="Rectangle 70">
              <a:extLst>
                <a:ext uri="{FF2B5EF4-FFF2-40B4-BE49-F238E27FC236}">
                  <a16:creationId xmlns:a16="http://schemas.microsoft.com/office/drawing/2014/main" id="{3E170D25-6295-467A-93E0-1A05CA9C8131}"/>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67CE8739-8E69-480A-AF99-F3B4D2437329}"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72" name="Rectangle 71">
              <a:extLst>
                <a:ext uri="{FF2B5EF4-FFF2-40B4-BE49-F238E27FC236}">
                  <a16:creationId xmlns:a16="http://schemas.microsoft.com/office/drawing/2014/main" id="{A892BC7C-06EC-49ED-A153-CE2BD04D60DD}"/>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5F067161-BC3E-4A02-8357-B80F7E0467EA}"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73" name="Rectangle 72">
              <a:extLst>
                <a:ext uri="{FF2B5EF4-FFF2-40B4-BE49-F238E27FC236}">
                  <a16:creationId xmlns:a16="http://schemas.microsoft.com/office/drawing/2014/main" id="{DD316364-76C1-4CF3-9C91-420C57A5F416}"/>
                </a:ext>
              </a:extLst>
            </xdr:cNvPr>
            <xdr:cNvSpPr/>
          </xdr:nvSpPr>
          <xdr:spPr>
            <a:xfrm>
              <a:off x="11287125" y="642938"/>
              <a:ext cx="1190057"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A7090E62-C382-4B3A-A0D2-D307680A38B8}"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61" name="Group 60">
            <a:extLst>
              <a:ext uri="{FF2B5EF4-FFF2-40B4-BE49-F238E27FC236}">
                <a16:creationId xmlns:a16="http://schemas.microsoft.com/office/drawing/2014/main" id="{43FD71DE-8544-46D3-B451-39FC9B456E8B}"/>
              </a:ext>
            </a:extLst>
          </xdr:cNvPr>
          <xdr:cNvGrpSpPr/>
        </xdr:nvGrpSpPr>
        <xdr:grpSpPr>
          <a:xfrm>
            <a:off x="4705350" y="975123"/>
            <a:ext cx="7771832" cy="257175"/>
            <a:chOff x="4705350" y="975123"/>
            <a:chExt cx="7771832" cy="257175"/>
          </a:xfrm>
        </xdr:grpSpPr>
        <xdr:sp macro="" textlink="">
          <xdr:nvSpPr>
            <xdr:cNvPr id="62" name="Rectangle 61">
              <a:extLst>
                <a:ext uri="{FF2B5EF4-FFF2-40B4-BE49-F238E27FC236}">
                  <a16:creationId xmlns:a16="http://schemas.microsoft.com/office/drawing/2014/main" id="{AE69E54B-862A-46C5-92B3-95E0F9D62EC7}"/>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63" name="Rectangle 62">
              <a:extLst>
                <a:ext uri="{FF2B5EF4-FFF2-40B4-BE49-F238E27FC236}">
                  <a16:creationId xmlns:a16="http://schemas.microsoft.com/office/drawing/2014/main" id="{AABDAAC0-7CD4-469B-A696-57540B0F6C36}"/>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64" name="Rectangle 63">
              <a:extLst>
                <a:ext uri="{FF2B5EF4-FFF2-40B4-BE49-F238E27FC236}">
                  <a16:creationId xmlns:a16="http://schemas.microsoft.com/office/drawing/2014/main" id="{E9A1B595-41FA-427E-B3EC-3ACEC36B58A4}"/>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65" name="Rectangle 64">
              <a:extLst>
                <a:ext uri="{FF2B5EF4-FFF2-40B4-BE49-F238E27FC236}">
                  <a16:creationId xmlns:a16="http://schemas.microsoft.com/office/drawing/2014/main" id="{F6F325BA-69C9-436B-917F-6A012A3625D1}"/>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2B60CC7E-F752-43D5-A354-12DC3664573A}"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66" name="Rectangle 65">
              <a:extLst>
                <a:ext uri="{FF2B5EF4-FFF2-40B4-BE49-F238E27FC236}">
                  <a16:creationId xmlns:a16="http://schemas.microsoft.com/office/drawing/2014/main" id="{B516DE85-B90B-463D-847C-34E192F11013}"/>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DDD89842-EE4F-4D0C-B5C7-834D577763DC}"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67" name="Rectangle 66">
              <a:extLst>
                <a:ext uri="{FF2B5EF4-FFF2-40B4-BE49-F238E27FC236}">
                  <a16:creationId xmlns:a16="http://schemas.microsoft.com/office/drawing/2014/main" id="{37ABBA51-1AE2-4D52-B7CE-FEEAB8236B86}"/>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02FBB1E3-A317-4BD8-8639-FF6F5097CCE1}"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5A7B4EBC-7387-4A4B-8BDF-61539926B8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EBA57258-0913-4FBC-9575-D23CCB547D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9525</xdr:colOff>
      <xdr:row>7</xdr:row>
      <xdr:rowOff>0</xdr:rowOff>
    </xdr:from>
    <xdr:to>
      <xdr:col>17</xdr:col>
      <xdr:colOff>190500</xdr:colOff>
      <xdr:row>13</xdr:row>
      <xdr:rowOff>142875</xdr:rowOff>
    </xdr:to>
    <xdr:sp macro="" textlink="">
      <xdr:nvSpPr>
        <xdr:cNvPr id="12" name="Rectangle: Rounded Corners 11">
          <a:extLst>
            <a:ext uri="{FF2B5EF4-FFF2-40B4-BE49-F238E27FC236}">
              <a16:creationId xmlns:a16="http://schemas.microsoft.com/office/drawing/2014/main" id="{954C39DC-CCE3-4D14-B51B-063F365A2C8A}"/>
            </a:ext>
          </a:extLst>
        </xdr:cNvPr>
        <xdr:cNvSpPr/>
      </xdr:nvSpPr>
      <xdr:spPr>
        <a:xfrm>
          <a:off x="4733925" y="1647825"/>
          <a:ext cx="7705725" cy="1771650"/>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spcAft>
              <a:spcPts val="1200"/>
            </a:spcAft>
          </a:pPr>
          <a:r>
            <a:rPr lang="de-DE" sz="1200">
              <a:solidFill>
                <a:schemeClr val="tx2"/>
              </a:solidFill>
              <a:latin typeface="Century Gothic" panose="020B0502020202020204" pitchFamily="34" charset="0"/>
            </a:rPr>
            <a:t>Gibt es weitere Kosten, die direkt nach dem Kauf anfallen und die du in deiner Rechnung berücksichtigen möchtest?</a:t>
          </a:r>
          <a:r>
            <a:rPr lang="de-DE" sz="1200" baseline="0">
              <a:solidFill>
                <a:schemeClr val="tx2"/>
              </a:solidFill>
              <a:latin typeface="Century Gothic" panose="020B0502020202020204" pitchFamily="34" charset="0"/>
            </a:rPr>
            <a:t> Das können zum Beispiel Renovierungs-</a:t>
          </a:r>
          <a:r>
            <a:rPr lang="de-DE" sz="1200" b="1">
              <a:solidFill>
                <a:schemeClr val="tx2"/>
              </a:solidFill>
              <a:latin typeface="Century Gothic" panose="020B0502020202020204" pitchFamily="34" charset="0"/>
            </a:rPr>
            <a:t>Maßnahmen</a:t>
          </a:r>
          <a:r>
            <a:rPr lang="de-DE" sz="1200">
              <a:solidFill>
                <a:schemeClr val="tx2"/>
              </a:solidFill>
              <a:latin typeface="Century Gothic" panose="020B0502020202020204" pitchFamily="34" charset="0"/>
            </a:rPr>
            <a:t> sein, die </a:t>
          </a:r>
          <a:r>
            <a:rPr lang="de-DE" sz="1200" b="1">
              <a:solidFill>
                <a:schemeClr val="tx2"/>
              </a:solidFill>
              <a:latin typeface="Century Gothic" panose="020B0502020202020204" pitchFamily="34" charset="0"/>
            </a:rPr>
            <a:t>sofort</a:t>
          </a:r>
          <a:r>
            <a:rPr lang="de-DE" sz="1200">
              <a:solidFill>
                <a:schemeClr val="tx2"/>
              </a:solidFill>
              <a:latin typeface="Century Gothic" panose="020B0502020202020204" pitchFamily="34" charset="0"/>
            </a:rPr>
            <a:t> nötig sind, um die Miete weiterhin zu erhalten.</a:t>
          </a:r>
          <a:endParaRPr lang="de-DE" sz="1200" baseline="0">
            <a:solidFill>
              <a:schemeClr val="tx2"/>
            </a:solidFill>
            <a:latin typeface="Century Gothic" panose="020B0502020202020204" pitchFamily="34" charset="0"/>
          </a:endParaRPr>
        </a:p>
        <a:p>
          <a:pPr algn="l">
            <a:lnSpc>
              <a:spcPct val="130000"/>
            </a:lnSpc>
            <a:spcAft>
              <a:spcPts val="1200"/>
            </a:spcAft>
          </a:pPr>
          <a:r>
            <a:rPr lang="de-DE" sz="1200" baseline="0">
              <a:solidFill>
                <a:schemeClr val="tx2"/>
              </a:solidFill>
              <a:latin typeface="Century Gothic" panose="020B0502020202020204" pitchFamily="34" charset="0"/>
            </a:rPr>
            <a:t>Oder geplante </a:t>
          </a:r>
          <a:r>
            <a:rPr lang="de-DE" sz="1200" b="1" baseline="0">
              <a:solidFill>
                <a:schemeClr val="tx2"/>
              </a:solidFill>
              <a:latin typeface="Century Gothic" panose="020B0502020202020204" pitchFamily="34" charset="0"/>
            </a:rPr>
            <a:t>Sonderumlagen</a:t>
          </a:r>
          <a:r>
            <a:rPr lang="de-DE" sz="1200" baseline="0">
              <a:solidFill>
                <a:schemeClr val="tx2"/>
              </a:solidFill>
              <a:latin typeface="Century Gothic" panose="020B0502020202020204" pitchFamily="34" charset="0"/>
            </a:rPr>
            <a:t>, die du neben dem normalen Hausgeld bezahlen musst. Wir rechnen diese mit in deinen Kapitalbedarf ein, weil du dieses Geld ja relativ kurzfristig ausgeben musst. Wenn die Umlage für mehrere Jahre beschlossen wurde, rechne mit der kompletten Summe.</a:t>
          </a:r>
        </a:p>
      </xdr:txBody>
    </xdr:sp>
    <xdr:clientData/>
  </xdr:twoCellAnchor>
  <xdr:twoCellAnchor>
    <xdr:from>
      <xdr:col>3</xdr:col>
      <xdr:colOff>342900</xdr:colOff>
      <xdr:row>17</xdr:row>
      <xdr:rowOff>200025</xdr:rowOff>
    </xdr:from>
    <xdr:to>
      <xdr:col>5</xdr:col>
      <xdr:colOff>9525</xdr:colOff>
      <xdr:row>19</xdr:row>
      <xdr:rowOff>38100</xdr:rowOff>
    </xdr:to>
    <xdr:sp macro="" textlink="">
      <xdr:nvSpPr>
        <xdr:cNvPr id="13" name="Arrow: Right 12">
          <a:hlinkClick xmlns:r="http://schemas.openxmlformats.org/officeDocument/2006/relationships" r:id="rId3"/>
          <a:extLst>
            <a:ext uri="{FF2B5EF4-FFF2-40B4-BE49-F238E27FC236}">
              <a16:creationId xmlns:a16="http://schemas.microsoft.com/office/drawing/2014/main" id="{C7334C1F-9E7E-4EBA-B9E9-8F189B82454F}"/>
            </a:ext>
          </a:extLst>
        </xdr:cNvPr>
        <xdr:cNvSpPr/>
      </xdr:nvSpPr>
      <xdr:spPr>
        <a:xfrm>
          <a:off x="2286000" y="481012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7</xdr:col>
      <xdr:colOff>9525</xdr:colOff>
      <xdr:row>15</xdr:row>
      <xdr:rowOff>0</xdr:rowOff>
    </xdr:from>
    <xdr:to>
      <xdr:col>17</xdr:col>
      <xdr:colOff>190500</xdr:colOff>
      <xdr:row>19</xdr:row>
      <xdr:rowOff>38100</xdr:rowOff>
    </xdr:to>
    <xdr:sp macro="" textlink="">
      <xdr:nvSpPr>
        <xdr:cNvPr id="37" name="Rectangle: Rounded Corners 36">
          <a:extLst>
            <a:ext uri="{FF2B5EF4-FFF2-40B4-BE49-F238E27FC236}">
              <a16:creationId xmlns:a16="http://schemas.microsoft.com/office/drawing/2014/main" id="{252EAE90-5EBD-42B3-BA7B-F3191C41727F}"/>
            </a:ext>
          </a:extLst>
        </xdr:cNvPr>
        <xdr:cNvSpPr/>
      </xdr:nvSpPr>
      <xdr:spPr>
        <a:xfrm>
          <a:off x="4733925" y="4067175"/>
          <a:ext cx="7705725" cy="1123950"/>
        </a:xfrm>
        <a:prstGeom prst="roundRect">
          <a:avLst>
            <a:gd name="adj" fmla="val 5660"/>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pPr>
          <a:r>
            <a:rPr lang="de-DE" sz="1200">
              <a:solidFill>
                <a:schemeClr val="tx2"/>
              </a:solidFill>
              <a:latin typeface="Century Gothic" panose="020B0502020202020204" pitchFamily="34" charset="0"/>
            </a:rPr>
            <a:t>Wie viel Geld möchtest du für Maßnahmen eingeplanen, die erst bei einem </a:t>
          </a:r>
          <a:r>
            <a:rPr lang="de-DE" sz="1200" b="1">
              <a:solidFill>
                <a:schemeClr val="tx2"/>
              </a:solidFill>
              <a:latin typeface="Century Gothic" panose="020B0502020202020204" pitchFamily="34" charset="0"/>
            </a:rPr>
            <a:t>Mieterwechsel</a:t>
          </a:r>
          <a:r>
            <a:rPr lang="de-DE" sz="1200">
              <a:solidFill>
                <a:schemeClr val="tx2"/>
              </a:solidFill>
              <a:latin typeface="Century Gothic" panose="020B0502020202020204" pitchFamily="34" charset="0"/>
            </a:rPr>
            <a:t> nötig sind? Da du dieses Geld nicht sofort brauchst, rechnen wir es nicht in deinen Kapitalbedarf ein. Wenn die Wohnung derzeit leer steht, solltest du wahrscheinlich alle Maßnahmen als "sofort" berücksichtigen. Nur so rechnest du sie mit in deinen Kapitalbedarf.</a:t>
          </a:r>
        </a:p>
      </xdr:txBody>
    </xdr:sp>
    <xdr:clientData/>
  </xdr:twoCellAnchor>
  <xdr:twoCellAnchor>
    <xdr:from>
      <xdr:col>1</xdr:col>
      <xdr:colOff>0</xdr:colOff>
      <xdr:row>17</xdr:row>
      <xdr:rowOff>200025</xdr:rowOff>
    </xdr:from>
    <xdr:to>
      <xdr:col>2</xdr:col>
      <xdr:colOff>1333500</xdr:colOff>
      <xdr:row>19</xdr:row>
      <xdr:rowOff>38100</xdr:rowOff>
    </xdr:to>
    <xdr:sp macro="" textlink="">
      <xdr:nvSpPr>
        <xdr:cNvPr id="38" name="Arrow: Right 37">
          <a:hlinkClick xmlns:r="http://schemas.openxmlformats.org/officeDocument/2006/relationships" r:id="rId4"/>
          <a:extLst>
            <a:ext uri="{FF2B5EF4-FFF2-40B4-BE49-F238E27FC236}">
              <a16:creationId xmlns:a16="http://schemas.microsoft.com/office/drawing/2014/main" id="{E1B790A7-7C65-41FE-9B23-D2A6B6BCA65F}"/>
            </a:ext>
          </a:extLst>
        </xdr:cNvPr>
        <xdr:cNvSpPr/>
      </xdr:nvSpPr>
      <xdr:spPr>
        <a:xfrm flipH="1">
          <a:off x="219075" y="481012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4</xdr:col>
      <xdr:colOff>66675</xdr:colOff>
      <xdr:row>0</xdr:row>
      <xdr:rowOff>133350</xdr:rowOff>
    </xdr:from>
    <xdr:to>
      <xdr:col>17</xdr:col>
      <xdr:colOff>247650</xdr:colOff>
      <xdr:row>2</xdr:row>
      <xdr:rowOff>29325</xdr:rowOff>
    </xdr:to>
    <xdr:grpSp>
      <xdr:nvGrpSpPr>
        <xdr:cNvPr id="39" name="Group 38">
          <a:extLst>
            <a:ext uri="{FF2B5EF4-FFF2-40B4-BE49-F238E27FC236}">
              <a16:creationId xmlns:a16="http://schemas.microsoft.com/office/drawing/2014/main" id="{9477BBB5-CC3F-462A-9057-0819A1159909}"/>
            </a:ext>
          </a:extLst>
        </xdr:cNvPr>
        <xdr:cNvGrpSpPr/>
      </xdr:nvGrpSpPr>
      <xdr:grpSpPr>
        <a:xfrm>
          <a:off x="3355975" y="133350"/>
          <a:ext cx="10937875" cy="238875"/>
          <a:chOff x="2952750" y="137737"/>
          <a:chExt cx="9563100" cy="248400"/>
        </a:xfrm>
      </xdr:grpSpPr>
      <xdr:sp macro="" textlink="">
        <xdr:nvSpPr>
          <xdr:cNvPr id="40" name="Rectangle 39">
            <a:hlinkClick xmlns:r="http://schemas.openxmlformats.org/officeDocument/2006/relationships" r:id="rId4"/>
            <a:extLst>
              <a:ext uri="{FF2B5EF4-FFF2-40B4-BE49-F238E27FC236}">
                <a16:creationId xmlns:a16="http://schemas.microsoft.com/office/drawing/2014/main" id="{A73F6DFC-307E-4AF0-B261-0BE1F0E7E6AE}"/>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41" name="Rectangle 40">
            <a:hlinkClick xmlns:r="http://schemas.openxmlformats.org/officeDocument/2006/relationships" r:id="rId5"/>
            <a:extLst>
              <a:ext uri="{FF2B5EF4-FFF2-40B4-BE49-F238E27FC236}">
                <a16:creationId xmlns:a16="http://schemas.microsoft.com/office/drawing/2014/main" id="{9D115714-2B12-4F57-91CD-94DFFFF5E1F7}"/>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sng">
                <a:solidFill>
                  <a:schemeClr val="bg1"/>
                </a:solidFill>
                <a:latin typeface="+mn-lt"/>
              </a:rPr>
              <a:t>Maßnahmen</a:t>
            </a:r>
          </a:p>
        </xdr:txBody>
      </xdr:sp>
      <xdr:sp macro="" textlink="">
        <xdr:nvSpPr>
          <xdr:cNvPr id="42" name="Rectangle 41">
            <a:hlinkClick xmlns:r="http://schemas.openxmlformats.org/officeDocument/2006/relationships" r:id="rId3"/>
            <a:extLst>
              <a:ext uri="{FF2B5EF4-FFF2-40B4-BE49-F238E27FC236}">
                <a16:creationId xmlns:a16="http://schemas.microsoft.com/office/drawing/2014/main" id="{F0C4A74C-D9CE-46CE-93B0-581AFDB3F1B9}"/>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Finanzierung</a:t>
            </a:r>
          </a:p>
        </xdr:txBody>
      </xdr:sp>
      <xdr:sp macro="" textlink="">
        <xdr:nvSpPr>
          <xdr:cNvPr id="43" name="Rectangle 42">
            <a:hlinkClick xmlns:r="http://schemas.openxmlformats.org/officeDocument/2006/relationships" r:id="rId6"/>
            <a:extLst>
              <a:ext uri="{FF2B5EF4-FFF2-40B4-BE49-F238E27FC236}">
                <a16:creationId xmlns:a16="http://schemas.microsoft.com/office/drawing/2014/main" id="{74F93269-05F4-43DF-ACB3-6BBD82A2D8B1}"/>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Hausgeld &amp;</a:t>
            </a:r>
            <a:r>
              <a:rPr lang="de-DE" sz="1050" baseline="0">
                <a:solidFill>
                  <a:schemeClr val="bg1"/>
                </a:solidFill>
                <a:latin typeface="+mn-lt"/>
              </a:rPr>
              <a:t> Rücklagen</a:t>
            </a:r>
            <a:endParaRPr lang="de-DE" sz="1050">
              <a:solidFill>
                <a:schemeClr val="bg1"/>
              </a:solidFill>
              <a:latin typeface="+mn-lt"/>
            </a:endParaRPr>
          </a:p>
        </xdr:txBody>
      </xdr:sp>
      <xdr:sp macro="" textlink="">
        <xdr:nvSpPr>
          <xdr:cNvPr id="44" name="Rectangle 43">
            <a:hlinkClick xmlns:r="http://schemas.openxmlformats.org/officeDocument/2006/relationships" r:id="rId7"/>
            <a:extLst>
              <a:ext uri="{FF2B5EF4-FFF2-40B4-BE49-F238E27FC236}">
                <a16:creationId xmlns:a16="http://schemas.microsoft.com/office/drawing/2014/main" id="{26BFBAF6-4723-4916-B500-19312A4CDFE0}"/>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Zinsrisiko</a:t>
            </a:r>
          </a:p>
        </xdr:txBody>
      </xdr:sp>
      <xdr:sp macro="" textlink="">
        <xdr:nvSpPr>
          <xdr:cNvPr id="45" name="Rectangle 44">
            <a:hlinkClick xmlns:r="http://schemas.openxmlformats.org/officeDocument/2006/relationships" r:id="rId8"/>
            <a:extLst>
              <a:ext uri="{FF2B5EF4-FFF2-40B4-BE49-F238E27FC236}">
                <a16:creationId xmlns:a16="http://schemas.microsoft.com/office/drawing/2014/main" id="{1787AEED-2CA8-4C69-A8E7-604D39F45473}"/>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Steuern</a:t>
            </a:r>
          </a:p>
        </xdr:txBody>
      </xdr:sp>
      <xdr:sp macro="" textlink="">
        <xdr:nvSpPr>
          <xdr:cNvPr id="46" name="Rectangle 45">
            <a:hlinkClick xmlns:r="http://schemas.openxmlformats.org/officeDocument/2006/relationships" r:id="rId9"/>
            <a:extLst>
              <a:ext uri="{FF2B5EF4-FFF2-40B4-BE49-F238E27FC236}">
                <a16:creationId xmlns:a16="http://schemas.microsoft.com/office/drawing/2014/main" id="{89C13F08-4BA5-43F2-AF2A-D9DC8517336A}"/>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47" name="Rectangle 46">
            <a:extLst>
              <a:ext uri="{FF2B5EF4-FFF2-40B4-BE49-F238E27FC236}">
                <a16:creationId xmlns:a16="http://schemas.microsoft.com/office/drawing/2014/main" id="{995D2AE2-3251-4BC5-ABE5-D331764BAE19}"/>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48" name="Rectangle 47">
            <a:extLst>
              <a:ext uri="{FF2B5EF4-FFF2-40B4-BE49-F238E27FC236}">
                <a16:creationId xmlns:a16="http://schemas.microsoft.com/office/drawing/2014/main" id="{3386066E-971A-47A8-B17B-8667D5A59C5D}"/>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49" name="Rectangle 48">
            <a:extLst>
              <a:ext uri="{FF2B5EF4-FFF2-40B4-BE49-F238E27FC236}">
                <a16:creationId xmlns:a16="http://schemas.microsoft.com/office/drawing/2014/main" id="{43FB9429-995D-481B-90E3-AD9D410BE88C}"/>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0" name="Rectangle 49">
            <a:extLst>
              <a:ext uri="{FF2B5EF4-FFF2-40B4-BE49-F238E27FC236}">
                <a16:creationId xmlns:a16="http://schemas.microsoft.com/office/drawing/2014/main" id="{AE77FAF7-0E3E-461E-8CF0-C5F38171AA33}"/>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1" name="Rectangle 50">
            <a:extLst>
              <a:ext uri="{FF2B5EF4-FFF2-40B4-BE49-F238E27FC236}">
                <a16:creationId xmlns:a16="http://schemas.microsoft.com/office/drawing/2014/main" id="{BEBDD509-8808-49B7-BF45-A2366693378E}"/>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2" name="Rectangle 51">
            <a:extLst>
              <a:ext uri="{FF2B5EF4-FFF2-40B4-BE49-F238E27FC236}">
                <a16:creationId xmlns:a16="http://schemas.microsoft.com/office/drawing/2014/main" id="{F66AD6E0-A9D5-4E03-8A95-ACD573E432FB}"/>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3" name="Rectangle 52">
            <a:extLst>
              <a:ext uri="{FF2B5EF4-FFF2-40B4-BE49-F238E27FC236}">
                <a16:creationId xmlns:a16="http://schemas.microsoft.com/office/drawing/2014/main" id="{473E3776-79E2-41E0-9508-570A7FFAD674}"/>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4" name="Rectangle: Rounded Corners 53">
            <a:hlinkClick xmlns:r="http://schemas.openxmlformats.org/officeDocument/2006/relationships" r:id="rId10"/>
            <a:extLst>
              <a:ext uri="{FF2B5EF4-FFF2-40B4-BE49-F238E27FC236}">
                <a16:creationId xmlns:a16="http://schemas.microsoft.com/office/drawing/2014/main" id="{0B5EE24A-1C07-40E2-900D-8A56BBDD5098}"/>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55" name="Rectangle 54">
            <a:extLst>
              <a:ext uri="{FF2B5EF4-FFF2-40B4-BE49-F238E27FC236}">
                <a16:creationId xmlns:a16="http://schemas.microsoft.com/office/drawing/2014/main" id="{60D5FABB-62B1-4FE1-8707-8DA4408C1857}"/>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6" name="Rectangle: Rounded Corners 55">
            <a:hlinkClick xmlns:r="http://schemas.openxmlformats.org/officeDocument/2006/relationships" r:id="rId11"/>
            <a:extLst>
              <a:ext uri="{FF2B5EF4-FFF2-40B4-BE49-F238E27FC236}">
                <a16:creationId xmlns:a16="http://schemas.microsoft.com/office/drawing/2014/main" id="{887F125A-E464-472B-B0DC-DE9885AB2C51}"/>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590550</xdr:colOff>
      <xdr:row>3</xdr:row>
      <xdr:rowOff>142875</xdr:rowOff>
    </xdr:from>
    <xdr:to>
      <xdr:col>17</xdr:col>
      <xdr:colOff>228032</xdr:colOff>
      <xdr:row>5</xdr:row>
      <xdr:rowOff>246460</xdr:rowOff>
    </xdr:to>
    <xdr:grpSp>
      <xdr:nvGrpSpPr>
        <xdr:cNvPr id="57" name="Group 56">
          <a:extLst>
            <a:ext uri="{FF2B5EF4-FFF2-40B4-BE49-F238E27FC236}">
              <a16:creationId xmlns:a16="http://schemas.microsoft.com/office/drawing/2014/main" id="{D92B04CD-4F9E-48A6-9D52-D65B4483EB82}"/>
            </a:ext>
          </a:extLst>
        </xdr:cNvPr>
        <xdr:cNvGrpSpPr/>
      </xdr:nvGrpSpPr>
      <xdr:grpSpPr>
        <a:xfrm>
          <a:off x="5302250" y="638175"/>
          <a:ext cx="8971982" cy="560785"/>
          <a:chOff x="4705350" y="652463"/>
          <a:chExt cx="7771832" cy="579835"/>
        </a:xfrm>
      </xdr:grpSpPr>
      <xdr:grpSp>
        <xdr:nvGrpSpPr>
          <xdr:cNvPr id="58" name="Group 57">
            <a:extLst>
              <a:ext uri="{FF2B5EF4-FFF2-40B4-BE49-F238E27FC236}">
                <a16:creationId xmlns:a16="http://schemas.microsoft.com/office/drawing/2014/main" id="{2029235D-1C0C-4733-927E-D7B95B04DD24}"/>
              </a:ext>
            </a:extLst>
          </xdr:cNvPr>
          <xdr:cNvGrpSpPr/>
        </xdr:nvGrpSpPr>
        <xdr:grpSpPr>
          <a:xfrm>
            <a:off x="4705350" y="652463"/>
            <a:ext cx="7771832" cy="257175"/>
            <a:chOff x="4705350" y="642938"/>
            <a:chExt cx="7771832" cy="257175"/>
          </a:xfrm>
        </xdr:grpSpPr>
        <xdr:sp macro="" textlink="">
          <xdr:nvSpPr>
            <xdr:cNvPr id="66" name="Rectangle 65">
              <a:extLst>
                <a:ext uri="{FF2B5EF4-FFF2-40B4-BE49-F238E27FC236}">
                  <a16:creationId xmlns:a16="http://schemas.microsoft.com/office/drawing/2014/main" id="{10902CAF-13C0-42AC-8655-9F0D94D6CD62}"/>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67" name="Rectangle 66">
              <a:extLst>
                <a:ext uri="{FF2B5EF4-FFF2-40B4-BE49-F238E27FC236}">
                  <a16:creationId xmlns:a16="http://schemas.microsoft.com/office/drawing/2014/main" id="{DE76C566-B885-416A-A060-E15C38335350}"/>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68" name="Rectangle 67">
              <a:extLst>
                <a:ext uri="{FF2B5EF4-FFF2-40B4-BE49-F238E27FC236}">
                  <a16:creationId xmlns:a16="http://schemas.microsoft.com/office/drawing/2014/main" id="{5448D13F-E9CF-4E88-83A6-9805927E8BA5}"/>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69" name="Rectangle 68">
              <a:extLst>
                <a:ext uri="{FF2B5EF4-FFF2-40B4-BE49-F238E27FC236}">
                  <a16:creationId xmlns:a16="http://schemas.microsoft.com/office/drawing/2014/main" id="{462DAC0F-0631-4367-8B98-BC8A055D129F}"/>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74E6CA2D-6831-4EBD-8A51-22CEC21B1C7F}"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70" name="Rectangle 69">
              <a:extLst>
                <a:ext uri="{FF2B5EF4-FFF2-40B4-BE49-F238E27FC236}">
                  <a16:creationId xmlns:a16="http://schemas.microsoft.com/office/drawing/2014/main" id="{653270C3-1802-4229-B3DC-FDD0C2773EA9}"/>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052F7AAA-7E55-4624-B5F2-2554667CDFBE}"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71" name="Rectangle 70">
              <a:extLst>
                <a:ext uri="{FF2B5EF4-FFF2-40B4-BE49-F238E27FC236}">
                  <a16:creationId xmlns:a16="http://schemas.microsoft.com/office/drawing/2014/main" id="{D337C537-A790-4969-A294-5A640E272692}"/>
                </a:ext>
              </a:extLst>
            </xdr:cNvPr>
            <xdr:cNvSpPr/>
          </xdr:nvSpPr>
          <xdr:spPr>
            <a:xfrm>
              <a:off x="11287125" y="642938"/>
              <a:ext cx="1190057"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CAC56409-AC03-450E-B9E0-4C14932AC3C3}"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59" name="Group 58">
            <a:extLst>
              <a:ext uri="{FF2B5EF4-FFF2-40B4-BE49-F238E27FC236}">
                <a16:creationId xmlns:a16="http://schemas.microsoft.com/office/drawing/2014/main" id="{D5466C97-95B3-4C87-8D52-EB2377FCE44C}"/>
              </a:ext>
            </a:extLst>
          </xdr:cNvPr>
          <xdr:cNvGrpSpPr/>
        </xdr:nvGrpSpPr>
        <xdr:grpSpPr>
          <a:xfrm>
            <a:off x="4705350" y="975123"/>
            <a:ext cx="7771832" cy="257175"/>
            <a:chOff x="4705350" y="975123"/>
            <a:chExt cx="7771832" cy="257175"/>
          </a:xfrm>
        </xdr:grpSpPr>
        <xdr:sp macro="" textlink="">
          <xdr:nvSpPr>
            <xdr:cNvPr id="60" name="Rectangle 59">
              <a:extLst>
                <a:ext uri="{FF2B5EF4-FFF2-40B4-BE49-F238E27FC236}">
                  <a16:creationId xmlns:a16="http://schemas.microsoft.com/office/drawing/2014/main" id="{679A589C-8A3C-49C8-9DF9-F6FC8142F194}"/>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61" name="Rectangle 60">
              <a:extLst>
                <a:ext uri="{FF2B5EF4-FFF2-40B4-BE49-F238E27FC236}">
                  <a16:creationId xmlns:a16="http://schemas.microsoft.com/office/drawing/2014/main" id="{DB9CEA53-7A61-429F-87D8-3E72A7192BF6}"/>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62" name="Rectangle 61">
              <a:extLst>
                <a:ext uri="{FF2B5EF4-FFF2-40B4-BE49-F238E27FC236}">
                  <a16:creationId xmlns:a16="http://schemas.microsoft.com/office/drawing/2014/main" id="{1A4AEB92-59BF-42F2-A6C9-7A806E75F6D8}"/>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63" name="Rectangle 62">
              <a:extLst>
                <a:ext uri="{FF2B5EF4-FFF2-40B4-BE49-F238E27FC236}">
                  <a16:creationId xmlns:a16="http://schemas.microsoft.com/office/drawing/2014/main" id="{10A6C2A9-EA63-4949-B6DF-3C227114228C}"/>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2CD16FDF-5F27-4644-8D65-B47EE5AA16AB}"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64" name="Rectangle 63">
              <a:extLst>
                <a:ext uri="{FF2B5EF4-FFF2-40B4-BE49-F238E27FC236}">
                  <a16:creationId xmlns:a16="http://schemas.microsoft.com/office/drawing/2014/main" id="{6185FA99-9BA2-4B92-A908-D1F50DDD4F99}"/>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AC96AEAF-237B-47B9-861D-C3BE328A5C51}"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65" name="Rectangle 64">
              <a:extLst>
                <a:ext uri="{FF2B5EF4-FFF2-40B4-BE49-F238E27FC236}">
                  <a16:creationId xmlns:a16="http://schemas.microsoft.com/office/drawing/2014/main" id="{1F3B38FE-F545-48A0-945E-9BE25E25DE54}"/>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ABF66A21-D6B9-45CB-8348-7199BF458620}"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76EA7B93-E070-4BBA-93BA-56725A5CFB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867DB3FC-E353-4B52-9A47-E97CBE17041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9525</xdr:colOff>
      <xdr:row>7</xdr:row>
      <xdr:rowOff>0</xdr:rowOff>
    </xdr:from>
    <xdr:to>
      <xdr:col>17</xdr:col>
      <xdr:colOff>190500</xdr:colOff>
      <xdr:row>10</xdr:row>
      <xdr:rowOff>742951</xdr:rowOff>
    </xdr:to>
    <xdr:sp macro="" textlink="">
      <xdr:nvSpPr>
        <xdr:cNvPr id="12" name="Rectangle: Rounded Corners 11">
          <a:extLst>
            <a:ext uri="{FF2B5EF4-FFF2-40B4-BE49-F238E27FC236}">
              <a16:creationId xmlns:a16="http://schemas.microsoft.com/office/drawing/2014/main" id="{A004A3AB-E9E3-425D-B906-CEC15D555198}"/>
            </a:ext>
          </a:extLst>
        </xdr:cNvPr>
        <xdr:cNvSpPr/>
      </xdr:nvSpPr>
      <xdr:spPr>
        <a:xfrm>
          <a:off x="4733925" y="1647825"/>
          <a:ext cx="7705725" cy="1609726"/>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pPr>
          <a:r>
            <a:rPr lang="de-DE" sz="1200" b="1">
              <a:solidFill>
                <a:schemeClr val="tx2"/>
              </a:solidFill>
              <a:latin typeface="Century Gothic" panose="020B0502020202020204" pitchFamily="34" charset="0"/>
            </a:rPr>
            <a:t>Wie viel Geld</a:t>
          </a:r>
          <a:r>
            <a:rPr lang="de-DE" sz="1200">
              <a:solidFill>
                <a:schemeClr val="tx2"/>
              </a:solidFill>
              <a:latin typeface="Century Gothic" panose="020B0502020202020204" pitchFamily="34" charset="0"/>
            </a:rPr>
            <a:t> möchtest du dir von der Bank </a:t>
          </a:r>
          <a:r>
            <a:rPr lang="de-DE" sz="1200" b="1">
              <a:solidFill>
                <a:schemeClr val="tx2"/>
              </a:solidFill>
              <a:latin typeface="Century Gothic" panose="020B0502020202020204" pitchFamily="34" charset="0"/>
            </a:rPr>
            <a:t>leihen</a:t>
          </a:r>
          <a:r>
            <a:rPr lang="de-DE" sz="1200">
              <a:solidFill>
                <a:schemeClr val="tx2"/>
              </a:solidFill>
              <a:latin typeface="Century Gothic" panose="020B0502020202020204" pitchFamily="34" charset="0"/>
            </a:rPr>
            <a:t>? Unsere Standard-Annahme ist 100% des Kaufpreises. Du bezahlst also den ganzen Kaufpreis mit einem Kredit. Die Kaufnebenkosten zahlst du dann selbst. Auch Renovierungskosten und Sonderumlagen zahlst du selbst. Du kannst aber auch mit jeder anderen Darlehenssumme rechnen. Je geringer das Darlehen im Verhältnis zum Kaufpreis, desto besser wird dein Zinssatz sein. Und desto geringer ist dein Risiko bei Zinsänderungen. Du musst aber auch mehr eigenes Geld investieren. Wir empfehlen dir zwischen 80% und 100% zu finanzieren.</a:t>
          </a:r>
          <a:endParaRPr lang="de-DE" sz="1200" u="sng" baseline="0">
            <a:solidFill>
              <a:schemeClr val="tx2"/>
            </a:solidFill>
            <a:latin typeface="Century Gothic" panose="020B0502020202020204" pitchFamily="34" charset="0"/>
          </a:endParaRPr>
        </a:p>
      </xdr:txBody>
    </xdr:sp>
    <xdr:clientData/>
  </xdr:twoCellAnchor>
  <xdr:twoCellAnchor>
    <xdr:from>
      <xdr:col>3</xdr:col>
      <xdr:colOff>342900</xdr:colOff>
      <xdr:row>14</xdr:row>
      <xdr:rowOff>276225</xdr:rowOff>
    </xdr:from>
    <xdr:to>
      <xdr:col>5</xdr:col>
      <xdr:colOff>9525</xdr:colOff>
      <xdr:row>15</xdr:row>
      <xdr:rowOff>190500</xdr:rowOff>
    </xdr:to>
    <xdr:sp macro="" textlink="">
      <xdr:nvSpPr>
        <xdr:cNvPr id="13" name="Arrow: Right 12">
          <a:hlinkClick xmlns:r="http://schemas.openxmlformats.org/officeDocument/2006/relationships" r:id="rId3"/>
          <a:extLst>
            <a:ext uri="{FF2B5EF4-FFF2-40B4-BE49-F238E27FC236}">
              <a16:creationId xmlns:a16="http://schemas.microsoft.com/office/drawing/2014/main" id="{2BDC98FC-6AAB-4EA2-B3EB-114C13B1BC59}"/>
            </a:ext>
          </a:extLst>
        </xdr:cNvPr>
        <xdr:cNvSpPr/>
      </xdr:nvSpPr>
      <xdr:spPr>
        <a:xfrm>
          <a:off x="2286000" y="472440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1</xdr:col>
      <xdr:colOff>0</xdr:colOff>
      <xdr:row>14</xdr:row>
      <xdr:rowOff>276225</xdr:rowOff>
    </xdr:from>
    <xdr:to>
      <xdr:col>2</xdr:col>
      <xdr:colOff>1333500</xdr:colOff>
      <xdr:row>15</xdr:row>
      <xdr:rowOff>190500</xdr:rowOff>
    </xdr:to>
    <xdr:sp macro="" textlink="">
      <xdr:nvSpPr>
        <xdr:cNvPr id="38" name="Arrow: Right 37">
          <a:hlinkClick xmlns:r="http://schemas.openxmlformats.org/officeDocument/2006/relationships" r:id="rId4"/>
          <a:extLst>
            <a:ext uri="{FF2B5EF4-FFF2-40B4-BE49-F238E27FC236}">
              <a16:creationId xmlns:a16="http://schemas.microsoft.com/office/drawing/2014/main" id="{CA31AEAC-B0B1-46F1-A712-602BA3FCAE6E}"/>
            </a:ext>
          </a:extLst>
        </xdr:cNvPr>
        <xdr:cNvSpPr/>
      </xdr:nvSpPr>
      <xdr:spPr>
        <a:xfrm flipH="1">
          <a:off x="219075" y="472440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7</xdr:col>
      <xdr:colOff>9525</xdr:colOff>
      <xdr:row>11</xdr:row>
      <xdr:rowOff>0</xdr:rowOff>
    </xdr:from>
    <xdr:to>
      <xdr:col>17</xdr:col>
      <xdr:colOff>190500</xdr:colOff>
      <xdr:row>14</xdr:row>
      <xdr:rowOff>304800</xdr:rowOff>
    </xdr:to>
    <xdr:sp macro="" textlink="">
      <xdr:nvSpPr>
        <xdr:cNvPr id="37" name="Rectangle: Rounded Corners 36">
          <a:extLst>
            <a:ext uri="{FF2B5EF4-FFF2-40B4-BE49-F238E27FC236}">
              <a16:creationId xmlns:a16="http://schemas.microsoft.com/office/drawing/2014/main" id="{33F38F6A-8F03-4DC8-86EA-AF70DE4549D4}"/>
            </a:ext>
          </a:extLst>
        </xdr:cNvPr>
        <xdr:cNvSpPr/>
      </xdr:nvSpPr>
      <xdr:spPr>
        <a:xfrm>
          <a:off x="4733925" y="3581400"/>
          <a:ext cx="7705725" cy="1171575"/>
        </a:xfrm>
        <a:prstGeom prst="roundRect">
          <a:avLst>
            <a:gd name="adj" fmla="val 4211"/>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spcAft>
              <a:spcPts val="600"/>
            </a:spcAft>
          </a:pPr>
          <a:r>
            <a:rPr lang="de-DE" sz="1200">
              <a:solidFill>
                <a:schemeClr val="tx2"/>
              </a:solidFill>
              <a:latin typeface="Century Gothic" panose="020B0502020202020204" pitchFamily="34" charset="0"/>
            </a:rPr>
            <a:t>Mit welchem </a:t>
          </a:r>
          <a:r>
            <a:rPr lang="de-DE" sz="1200" b="1">
              <a:solidFill>
                <a:schemeClr val="tx2"/>
              </a:solidFill>
              <a:latin typeface="Century Gothic" panose="020B0502020202020204" pitchFamily="34" charset="0"/>
            </a:rPr>
            <a:t>Zinssatz</a:t>
          </a:r>
          <a:r>
            <a:rPr lang="de-DE" sz="1200">
              <a:solidFill>
                <a:schemeClr val="tx2"/>
              </a:solidFill>
              <a:latin typeface="Century Gothic" panose="020B0502020202020204" pitchFamily="34" charset="0"/>
            </a:rPr>
            <a:t> pro Jahr rechnest du? Die Zinsen ändern sich derzeit recht dynamisch. Am besten verschaffst du dir per</a:t>
          </a:r>
          <a:r>
            <a:rPr lang="de-DE" sz="1200" baseline="0">
              <a:solidFill>
                <a:schemeClr val="tx2"/>
              </a:solidFill>
              <a:latin typeface="Century Gothic" panose="020B0502020202020204" pitchFamily="34" charset="0"/>
            </a:rPr>
            <a:t> Google ("Bauzinsen") ein eigenes Gefühl.</a:t>
          </a:r>
          <a:endParaRPr lang="de-DE" sz="1200">
            <a:solidFill>
              <a:schemeClr val="tx2"/>
            </a:solidFill>
            <a:latin typeface="Century Gothic" panose="020B0502020202020204" pitchFamily="34" charset="0"/>
          </a:endParaRPr>
        </a:p>
        <a:p>
          <a:pPr algn="l">
            <a:lnSpc>
              <a:spcPct val="130000"/>
            </a:lnSpc>
            <a:spcAft>
              <a:spcPts val="600"/>
            </a:spcAft>
          </a:pPr>
          <a:r>
            <a:rPr lang="de-DE" sz="1200">
              <a:solidFill>
                <a:schemeClr val="tx2"/>
              </a:solidFill>
              <a:latin typeface="Century Gothic" panose="020B0502020202020204" pitchFamily="34" charset="0"/>
            </a:rPr>
            <a:t>Wie viel Prozent des Darlehens möchtest du anfänglich pro Jahr </a:t>
          </a:r>
          <a:r>
            <a:rPr lang="de-DE" sz="1200" b="1">
              <a:solidFill>
                <a:schemeClr val="tx2"/>
              </a:solidFill>
              <a:latin typeface="Century Gothic" panose="020B0502020202020204" pitchFamily="34" charset="0"/>
            </a:rPr>
            <a:t>tilgen</a:t>
          </a:r>
          <a:r>
            <a:rPr lang="de-DE" sz="1200">
              <a:solidFill>
                <a:schemeClr val="tx2"/>
              </a:solidFill>
              <a:latin typeface="Century Gothic" panose="020B0502020202020204" pitchFamily="34" charset="0"/>
            </a:rPr>
            <a:t>, also zurückbezahlen? Wir empfehlen dir mindestens 1,5%.</a:t>
          </a:r>
          <a:endParaRPr lang="de-DE" sz="1200" u="sng">
            <a:solidFill>
              <a:schemeClr val="tx2"/>
            </a:solidFill>
            <a:latin typeface="Century Gothic" panose="020B0502020202020204" pitchFamily="34" charset="0"/>
          </a:endParaRPr>
        </a:p>
      </xdr:txBody>
    </xdr:sp>
    <xdr:clientData/>
  </xdr:twoCellAnchor>
  <xdr:twoCellAnchor>
    <xdr:from>
      <xdr:col>4</xdr:col>
      <xdr:colOff>76200</xdr:colOff>
      <xdr:row>0</xdr:row>
      <xdr:rowOff>133350</xdr:rowOff>
    </xdr:from>
    <xdr:to>
      <xdr:col>17</xdr:col>
      <xdr:colOff>257175</xdr:colOff>
      <xdr:row>2</xdr:row>
      <xdr:rowOff>29325</xdr:rowOff>
    </xdr:to>
    <xdr:grpSp>
      <xdr:nvGrpSpPr>
        <xdr:cNvPr id="39" name="Group 38">
          <a:extLst>
            <a:ext uri="{FF2B5EF4-FFF2-40B4-BE49-F238E27FC236}">
              <a16:creationId xmlns:a16="http://schemas.microsoft.com/office/drawing/2014/main" id="{B530932A-05A7-498B-974E-D18998310EE2}"/>
            </a:ext>
          </a:extLst>
        </xdr:cNvPr>
        <xdr:cNvGrpSpPr/>
      </xdr:nvGrpSpPr>
      <xdr:grpSpPr>
        <a:xfrm>
          <a:off x="3365500" y="133350"/>
          <a:ext cx="10937875" cy="238875"/>
          <a:chOff x="2952750" y="137737"/>
          <a:chExt cx="9563100" cy="248400"/>
        </a:xfrm>
      </xdr:grpSpPr>
      <xdr:sp macro="" textlink="">
        <xdr:nvSpPr>
          <xdr:cNvPr id="40" name="Rectangle 39">
            <a:hlinkClick xmlns:r="http://schemas.openxmlformats.org/officeDocument/2006/relationships" r:id="rId5"/>
            <a:extLst>
              <a:ext uri="{FF2B5EF4-FFF2-40B4-BE49-F238E27FC236}">
                <a16:creationId xmlns:a16="http://schemas.microsoft.com/office/drawing/2014/main" id="{235F06C6-0E22-49F5-95C7-3CE6BC3578E1}"/>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41" name="Rectangle 40">
            <a:hlinkClick xmlns:r="http://schemas.openxmlformats.org/officeDocument/2006/relationships" r:id="rId4"/>
            <a:extLst>
              <a:ext uri="{FF2B5EF4-FFF2-40B4-BE49-F238E27FC236}">
                <a16:creationId xmlns:a16="http://schemas.microsoft.com/office/drawing/2014/main" id="{067E6856-49EC-4B50-B799-579F291A6C45}"/>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42" name="Rectangle 41">
            <a:hlinkClick xmlns:r="http://schemas.openxmlformats.org/officeDocument/2006/relationships" r:id="rId6"/>
            <a:extLst>
              <a:ext uri="{FF2B5EF4-FFF2-40B4-BE49-F238E27FC236}">
                <a16:creationId xmlns:a16="http://schemas.microsoft.com/office/drawing/2014/main" id="{1103AAFF-DE59-4F1E-B629-4AC942A6810A}"/>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sng">
                <a:solidFill>
                  <a:schemeClr val="bg1"/>
                </a:solidFill>
                <a:latin typeface="+mn-lt"/>
              </a:rPr>
              <a:t>Finanzierung</a:t>
            </a:r>
          </a:p>
        </xdr:txBody>
      </xdr:sp>
      <xdr:sp macro="" textlink="">
        <xdr:nvSpPr>
          <xdr:cNvPr id="43" name="Rectangle 42">
            <a:hlinkClick xmlns:r="http://schemas.openxmlformats.org/officeDocument/2006/relationships" r:id="rId7"/>
            <a:extLst>
              <a:ext uri="{FF2B5EF4-FFF2-40B4-BE49-F238E27FC236}">
                <a16:creationId xmlns:a16="http://schemas.microsoft.com/office/drawing/2014/main" id="{8D765513-89F4-4EBC-8DCF-A4F9DEE8FB16}"/>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Hausgeld &amp;</a:t>
            </a:r>
            <a:r>
              <a:rPr lang="de-DE" sz="1050" baseline="0">
                <a:solidFill>
                  <a:schemeClr val="bg1"/>
                </a:solidFill>
                <a:latin typeface="+mn-lt"/>
              </a:rPr>
              <a:t> Rücklagen</a:t>
            </a:r>
            <a:endParaRPr lang="de-DE" sz="1050">
              <a:solidFill>
                <a:schemeClr val="bg1"/>
              </a:solidFill>
              <a:latin typeface="+mn-lt"/>
            </a:endParaRPr>
          </a:p>
        </xdr:txBody>
      </xdr:sp>
      <xdr:sp macro="" textlink="">
        <xdr:nvSpPr>
          <xdr:cNvPr id="44" name="Rectangle 43">
            <a:hlinkClick xmlns:r="http://schemas.openxmlformats.org/officeDocument/2006/relationships" r:id="rId8"/>
            <a:extLst>
              <a:ext uri="{FF2B5EF4-FFF2-40B4-BE49-F238E27FC236}">
                <a16:creationId xmlns:a16="http://schemas.microsoft.com/office/drawing/2014/main" id="{0452B78A-12BB-4FAE-B7A6-AB293FD525AA}"/>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Zinsrisiko</a:t>
            </a:r>
          </a:p>
        </xdr:txBody>
      </xdr:sp>
      <xdr:sp macro="" textlink="">
        <xdr:nvSpPr>
          <xdr:cNvPr id="45" name="Rectangle 44">
            <a:hlinkClick xmlns:r="http://schemas.openxmlformats.org/officeDocument/2006/relationships" r:id="rId9"/>
            <a:extLst>
              <a:ext uri="{FF2B5EF4-FFF2-40B4-BE49-F238E27FC236}">
                <a16:creationId xmlns:a16="http://schemas.microsoft.com/office/drawing/2014/main" id="{460835E5-FA7D-4D7F-A962-7E770F8A140C}"/>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Steuern</a:t>
            </a:r>
          </a:p>
        </xdr:txBody>
      </xdr:sp>
      <xdr:sp macro="" textlink="">
        <xdr:nvSpPr>
          <xdr:cNvPr id="46" name="Rectangle 45">
            <a:hlinkClick xmlns:r="http://schemas.openxmlformats.org/officeDocument/2006/relationships" r:id="rId10"/>
            <a:extLst>
              <a:ext uri="{FF2B5EF4-FFF2-40B4-BE49-F238E27FC236}">
                <a16:creationId xmlns:a16="http://schemas.microsoft.com/office/drawing/2014/main" id="{18429393-C49C-4B85-B62C-61CFAD1EC06D}"/>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47" name="Rectangle 46">
            <a:extLst>
              <a:ext uri="{FF2B5EF4-FFF2-40B4-BE49-F238E27FC236}">
                <a16:creationId xmlns:a16="http://schemas.microsoft.com/office/drawing/2014/main" id="{626EA1BF-EBF5-43E1-A9E5-86ACCE49D29E}"/>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48" name="Rectangle 47">
            <a:extLst>
              <a:ext uri="{FF2B5EF4-FFF2-40B4-BE49-F238E27FC236}">
                <a16:creationId xmlns:a16="http://schemas.microsoft.com/office/drawing/2014/main" id="{469A2AA8-B2CB-4A4D-9563-C7D17E0C19CE}"/>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49" name="Rectangle 48">
            <a:extLst>
              <a:ext uri="{FF2B5EF4-FFF2-40B4-BE49-F238E27FC236}">
                <a16:creationId xmlns:a16="http://schemas.microsoft.com/office/drawing/2014/main" id="{E8538382-8962-47DB-94F2-D093A0B34E9E}"/>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0" name="Rectangle 49">
            <a:extLst>
              <a:ext uri="{FF2B5EF4-FFF2-40B4-BE49-F238E27FC236}">
                <a16:creationId xmlns:a16="http://schemas.microsoft.com/office/drawing/2014/main" id="{3AB729B3-FD41-421C-A6FD-0AF393126DA5}"/>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1" name="Rectangle 50">
            <a:extLst>
              <a:ext uri="{FF2B5EF4-FFF2-40B4-BE49-F238E27FC236}">
                <a16:creationId xmlns:a16="http://schemas.microsoft.com/office/drawing/2014/main" id="{9BEBAB85-7BFE-41D7-A72E-E52A5C1B6313}"/>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2" name="Rectangle 51">
            <a:extLst>
              <a:ext uri="{FF2B5EF4-FFF2-40B4-BE49-F238E27FC236}">
                <a16:creationId xmlns:a16="http://schemas.microsoft.com/office/drawing/2014/main" id="{CD380FB6-57A5-4EB9-BEF6-DFD126CB16E5}"/>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3" name="Rectangle 52">
            <a:extLst>
              <a:ext uri="{FF2B5EF4-FFF2-40B4-BE49-F238E27FC236}">
                <a16:creationId xmlns:a16="http://schemas.microsoft.com/office/drawing/2014/main" id="{EC593283-F889-4F60-B2CB-531E8299DAF1}"/>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4" name="Rectangle: Rounded Corners 53">
            <a:hlinkClick xmlns:r="http://schemas.openxmlformats.org/officeDocument/2006/relationships" r:id="rId11"/>
            <a:extLst>
              <a:ext uri="{FF2B5EF4-FFF2-40B4-BE49-F238E27FC236}">
                <a16:creationId xmlns:a16="http://schemas.microsoft.com/office/drawing/2014/main" id="{FE36249C-2377-46F4-ACD0-254994A15AEF}"/>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55" name="Rectangle 54">
            <a:extLst>
              <a:ext uri="{FF2B5EF4-FFF2-40B4-BE49-F238E27FC236}">
                <a16:creationId xmlns:a16="http://schemas.microsoft.com/office/drawing/2014/main" id="{F707DCB6-3ED1-4119-847D-F01577BBEFEA}"/>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6" name="Rectangle: Rounded Corners 55">
            <a:hlinkClick xmlns:r="http://schemas.openxmlformats.org/officeDocument/2006/relationships" r:id="rId12"/>
            <a:extLst>
              <a:ext uri="{FF2B5EF4-FFF2-40B4-BE49-F238E27FC236}">
                <a16:creationId xmlns:a16="http://schemas.microsoft.com/office/drawing/2014/main" id="{5C840EF3-638D-480B-BB30-F3F66358B9A4}"/>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590550</xdr:colOff>
      <xdr:row>3</xdr:row>
      <xdr:rowOff>142875</xdr:rowOff>
    </xdr:from>
    <xdr:to>
      <xdr:col>17</xdr:col>
      <xdr:colOff>228032</xdr:colOff>
      <xdr:row>5</xdr:row>
      <xdr:rowOff>246460</xdr:rowOff>
    </xdr:to>
    <xdr:grpSp>
      <xdr:nvGrpSpPr>
        <xdr:cNvPr id="57" name="Group 56">
          <a:extLst>
            <a:ext uri="{FF2B5EF4-FFF2-40B4-BE49-F238E27FC236}">
              <a16:creationId xmlns:a16="http://schemas.microsoft.com/office/drawing/2014/main" id="{FCE44155-77DB-46F4-B198-62DBB648E78A}"/>
            </a:ext>
          </a:extLst>
        </xdr:cNvPr>
        <xdr:cNvGrpSpPr/>
      </xdr:nvGrpSpPr>
      <xdr:grpSpPr>
        <a:xfrm>
          <a:off x="5302250" y="638175"/>
          <a:ext cx="8971982" cy="560785"/>
          <a:chOff x="4705350" y="652463"/>
          <a:chExt cx="7771832" cy="579835"/>
        </a:xfrm>
      </xdr:grpSpPr>
      <xdr:grpSp>
        <xdr:nvGrpSpPr>
          <xdr:cNvPr id="58" name="Group 57">
            <a:extLst>
              <a:ext uri="{FF2B5EF4-FFF2-40B4-BE49-F238E27FC236}">
                <a16:creationId xmlns:a16="http://schemas.microsoft.com/office/drawing/2014/main" id="{D4DB7DCD-C66D-40EF-8F55-BB79F4412148}"/>
              </a:ext>
            </a:extLst>
          </xdr:cNvPr>
          <xdr:cNvGrpSpPr/>
        </xdr:nvGrpSpPr>
        <xdr:grpSpPr>
          <a:xfrm>
            <a:off x="4705350" y="652463"/>
            <a:ext cx="7771832" cy="257175"/>
            <a:chOff x="4705350" y="642938"/>
            <a:chExt cx="7771832" cy="257175"/>
          </a:xfrm>
        </xdr:grpSpPr>
        <xdr:sp macro="" textlink="">
          <xdr:nvSpPr>
            <xdr:cNvPr id="66" name="Rectangle 65">
              <a:extLst>
                <a:ext uri="{FF2B5EF4-FFF2-40B4-BE49-F238E27FC236}">
                  <a16:creationId xmlns:a16="http://schemas.microsoft.com/office/drawing/2014/main" id="{D976A244-D6B7-414E-AB0F-0303A142DA11}"/>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67" name="Rectangle 66">
              <a:extLst>
                <a:ext uri="{FF2B5EF4-FFF2-40B4-BE49-F238E27FC236}">
                  <a16:creationId xmlns:a16="http://schemas.microsoft.com/office/drawing/2014/main" id="{D21647C9-31AB-4F99-9CD7-4DC6ED9F91B3}"/>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68" name="Rectangle 67">
              <a:extLst>
                <a:ext uri="{FF2B5EF4-FFF2-40B4-BE49-F238E27FC236}">
                  <a16:creationId xmlns:a16="http://schemas.microsoft.com/office/drawing/2014/main" id="{B91A118A-1036-46EF-BE0F-9C4E950A0B42}"/>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69" name="Rectangle 68">
              <a:extLst>
                <a:ext uri="{FF2B5EF4-FFF2-40B4-BE49-F238E27FC236}">
                  <a16:creationId xmlns:a16="http://schemas.microsoft.com/office/drawing/2014/main" id="{BDB9BAA3-10AA-4FD9-AAA4-0B8FD9DE421F}"/>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DB489B10-8F40-4AFE-A469-2E72DE271896}"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70" name="Rectangle 69">
              <a:extLst>
                <a:ext uri="{FF2B5EF4-FFF2-40B4-BE49-F238E27FC236}">
                  <a16:creationId xmlns:a16="http://schemas.microsoft.com/office/drawing/2014/main" id="{12B018FD-1D80-46D8-91EF-CD93BBD1B015}"/>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80713A1E-ECE9-4B46-930A-84C16F890652}"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71" name="Rectangle 70">
              <a:extLst>
                <a:ext uri="{FF2B5EF4-FFF2-40B4-BE49-F238E27FC236}">
                  <a16:creationId xmlns:a16="http://schemas.microsoft.com/office/drawing/2014/main" id="{84AEF5B0-8D5A-49C2-ADDC-D3A17E528E16}"/>
                </a:ext>
              </a:extLst>
            </xdr:cNvPr>
            <xdr:cNvSpPr/>
          </xdr:nvSpPr>
          <xdr:spPr>
            <a:xfrm>
              <a:off x="11287125" y="642938"/>
              <a:ext cx="1190057"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2BBA0CD1-6A99-4577-A2E7-125ABDE8A6AC}"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59" name="Group 58">
            <a:extLst>
              <a:ext uri="{FF2B5EF4-FFF2-40B4-BE49-F238E27FC236}">
                <a16:creationId xmlns:a16="http://schemas.microsoft.com/office/drawing/2014/main" id="{15B3110E-ADA1-429F-A384-B250068F5AAF}"/>
              </a:ext>
            </a:extLst>
          </xdr:cNvPr>
          <xdr:cNvGrpSpPr/>
        </xdr:nvGrpSpPr>
        <xdr:grpSpPr>
          <a:xfrm>
            <a:off x="4705350" y="975123"/>
            <a:ext cx="7771832" cy="257175"/>
            <a:chOff x="4705350" y="975123"/>
            <a:chExt cx="7771832" cy="257175"/>
          </a:xfrm>
        </xdr:grpSpPr>
        <xdr:sp macro="" textlink="">
          <xdr:nvSpPr>
            <xdr:cNvPr id="60" name="Rectangle 59">
              <a:extLst>
                <a:ext uri="{FF2B5EF4-FFF2-40B4-BE49-F238E27FC236}">
                  <a16:creationId xmlns:a16="http://schemas.microsoft.com/office/drawing/2014/main" id="{A3E568A3-4D67-45C3-A533-DBBA7DA6A62F}"/>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61" name="Rectangle 60">
              <a:extLst>
                <a:ext uri="{FF2B5EF4-FFF2-40B4-BE49-F238E27FC236}">
                  <a16:creationId xmlns:a16="http://schemas.microsoft.com/office/drawing/2014/main" id="{55D2136D-E4BC-453C-82F4-B055CBAFD1D9}"/>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62" name="Rectangle 61">
              <a:extLst>
                <a:ext uri="{FF2B5EF4-FFF2-40B4-BE49-F238E27FC236}">
                  <a16:creationId xmlns:a16="http://schemas.microsoft.com/office/drawing/2014/main" id="{3A8DDEFB-7FE9-413E-8DF3-01C47094A9DD}"/>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63" name="Rectangle 62">
              <a:extLst>
                <a:ext uri="{FF2B5EF4-FFF2-40B4-BE49-F238E27FC236}">
                  <a16:creationId xmlns:a16="http://schemas.microsoft.com/office/drawing/2014/main" id="{CE0FCB2C-3DBB-47C8-BB0F-E750C403FE16}"/>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901A0E33-D9B8-4AA1-8A42-DBDBB48933F0}"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64" name="Rectangle 63">
              <a:extLst>
                <a:ext uri="{FF2B5EF4-FFF2-40B4-BE49-F238E27FC236}">
                  <a16:creationId xmlns:a16="http://schemas.microsoft.com/office/drawing/2014/main" id="{96681B64-9976-4FC6-81F3-9DCA5FC0D747}"/>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EFF46591-B23F-4300-A87C-10CEF949E48A}"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65" name="Rectangle 64">
              <a:extLst>
                <a:ext uri="{FF2B5EF4-FFF2-40B4-BE49-F238E27FC236}">
                  <a16:creationId xmlns:a16="http://schemas.microsoft.com/office/drawing/2014/main" id="{399E470E-5F57-47DB-BCCD-B54301A6A0F7}"/>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628DD8C3-6E3E-4E81-B337-49CFA9CCF0CD}"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twoCellAnchor>
    <xdr:from>
      <xdr:col>7</xdr:col>
      <xdr:colOff>9525</xdr:colOff>
      <xdr:row>15</xdr:row>
      <xdr:rowOff>123824</xdr:rowOff>
    </xdr:from>
    <xdr:to>
      <xdr:col>17</xdr:col>
      <xdr:colOff>190500</xdr:colOff>
      <xdr:row>17</xdr:row>
      <xdr:rowOff>209550</xdr:rowOff>
    </xdr:to>
    <xdr:sp macro="" textlink="">
      <xdr:nvSpPr>
        <xdr:cNvPr id="72" name="Rectangle: Rounded Corners 71">
          <a:hlinkClick xmlns:r="http://schemas.openxmlformats.org/officeDocument/2006/relationships" r:id="rId13"/>
          <a:extLst>
            <a:ext uri="{FF2B5EF4-FFF2-40B4-BE49-F238E27FC236}">
              <a16:creationId xmlns:a16="http://schemas.microsoft.com/office/drawing/2014/main" id="{2E46C0EB-ADBE-418E-99CF-ADA78B6D0F08}"/>
            </a:ext>
          </a:extLst>
        </xdr:cNvPr>
        <xdr:cNvSpPr/>
      </xdr:nvSpPr>
      <xdr:spPr>
        <a:xfrm>
          <a:off x="4733925" y="5038724"/>
          <a:ext cx="7705725" cy="628651"/>
        </a:xfrm>
        <a:prstGeom prst="roundRect">
          <a:avLst>
            <a:gd name="adj" fmla="val 8180"/>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pPr>
          <a:r>
            <a:rPr lang="de-DE" sz="1200">
              <a:solidFill>
                <a:schemeClr val="tx2"/>
              </a:solidFill>
              <a:latin typeface="Century Gothic" panose="020B0502020202020204" pitchFamily="34" charset="0"/>
            </a:rPr>
            <a:t>Eine ausführliche Erklärung zu unseren Annahmen und Empfehlungen sowie eine vollständige Gebrauchsanleitung</a:t>
          </a:r>
          <a:r>
            <a:rPr lang="de-DE" sz="1200" baseline="0">
              <a:solidFill>
                <a:schemeClr val="tx2"/>
              </a:solidFill>
              <a:latin typeface="Century Gothic" panose="020B0502020202020204" pitchFamily="34" charset="0"/>
            </a:rPr>
            <a:t> für den Wohnungskauf </a:t>
          </a:r>
          <a:r>
            <a:rPr lang="de-DE" sz="1200" u="sng" baseline="0">
              <a:solidFill>
                <a:schemeClr val="tx2"/>
              </a:solidFill>
              <a:latin typeface="Century Gothic" panose="020B0502020202020204" pitchFamily="34" charset="0"/>
            </a:rPr>
            <a:t>findest du hier (immocation Buch).</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880334F6-5757-41A7-95DB-BA6310C464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8DEFF875-D99B-447E-9658-5CE91C2138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9525</xdr:colOff>
      <xdr:row>7</xdr:row>
      <xdr:rowOff>1</xdr:rowOff>
    </xdr:from>
    <xdr:to>
      <xdr:col>17</xdr:col>
      <xdr:colOff>190500</xdr:colOff>
      <xdr:row>8</xdr:row>
      <xdr:rowOff>209551</xdr:rowOff>
    </xdr:to>
    <xdr:sp macro="" textlink="">
      <xdr:nvSpPr>
        <xdr:cNvPr id="12" name="Rectangle: Rounded Corners 11">
          <a:extLst>
            <a:ext uri="{FF2B5EF4-FFF2-40B4-BE49-F238E27FC236}">
              <a16:creationId xmlns:a16="http://schemas.microsoft.com/office/drawing/2014/main" id="{C25D6B7E-82B7-44DE-A28B-BFAAB614EF2E}"/>
            </a:ext>
          </a:extLst>
        </xdr:cNvPr>
        <xdr:cNvSpPr/>
      </xdr:nvSpPr>
      <xdr:spPr>
        <a:xfrm>
          <a:off x="4733925" y="1647826"/>
          <a:ext cx="7705725" cy="533400"/>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tlCol="0" anchor="ctr"/>
        <a:lstStyle/>
        <a:p>
          <a:pPr algn="l">
            <a:lnSpc>
              <a:spcPct val="130000"/>
            </a:lnSpc>
          </a:pPr>
          <a:r>
            <a:rPr lang="de-DE" sz="1200" b="0" baseline="0">
              <a:solidFill>
                <a:schemeClr val="tx2"/>
              </a:solidFill>
              <a:latin typeface="Century Gothic" panose="020B0502020202020204" pitchFamily="34" charset="0"/>
            </a:rPr>
            <a:t>Diese </a:t>
          </a:r>
          <a:r>
            <a:rPr lang="de-DE" sz="1200" b="1" baseline="0">
              <a:solidFill>
                <a:schemeClr val="tx2"/>
              </a:solidFill>
              <a:latin typeface="Century Gothic" panose="020B0502020202020204" pitchFamily="34" charset="0"/>
            </a:rPr>
            <a:t>Rate</a:t>
          </a:r>
          <a:r>
            <a:rPr lang="de-DE" sz="1200" b="0" baseline="0">
              <a:solidFill>
                <a:schemeClr val="tx2"/>
              </a:solidFill>
              <a:latin typeface="Century Gothic" panose="020B0502020202020204" pitchFamily="34" charset="0"/>
            </a:rPr>
            <a:t> musst du jeden Monat </a:t>
          </a:r>
          <a:r>
            <a:rPr lang="de-DE" sz="1200" b="1" baseline="0">
              <a:solidFill>
                <a:schemeClr val="tx2"/>
              </a:solidFill>
              <a:latin typeface="Century Gothic" panose="020B0502020202020204" pitchFamily="34" charset="0"/>
            </a:rPr>
            <a:t>an die Bank überweisen</a:t>
          </a:r>
          <a:r>
            <a:rPr lang="de-DE" sz="1200" b="0" baseline="0">
              <a:solidFill>
                <a:schemeClr val="tx2"/>
              </a:solidFill>
              <a:latin typeface="Century Gothic" panose="020B0502020202020204" pitchFamily="34" charset="0"/>
            </a:rPr>
            <a:t>. </a:t>
          </a:r>
        </a:p>
      </xdr:txBody>
    </xdr:sp>
    <xdr:clientData/>
  </xdr:twoCellAnchor>
  <xdr:twoCellAnchor>
    <xdr:from>
      <xdr:col>3</xdr:col>
      <xdr:colOff>342900</xdr:colOff>
      <xdr:row>13</xdr:row>
      <xdr:rowOff>304800</xdr:rowOff>
    </xdr:from>
    <xdr:to>
      <xdr:col>5</xdr:col>
      <xdr:colOff>9525</xdr:colOff>
      <xdr:row>14</xdr:row>
      <xdr:rowOff>219075</xdr:rowOff>
    </xdr:to>
    <xdr:sp macro="" textlink="">
      <xdr:nvSpPr>
        <xdr:cNvPr id="13" name="Arrow: Right 12">
          <a:hlinkClick xmlns:r="http://schemas.openxmlformats.org/officeDocument/2006/relationships" r:id="rId3"/>
          <a:extLst>
            <a:ext uri="{FF2B5EF4-FFF2-40B4-BE49-F238E27FC236}">
              <a16:creationId xmlns:a16="http://schemas.microsoft.com/office/drawing/2014/main" id="{2F23235C-615B-4346-B80A-848B42D101BC}"/>
            </a:ext>
          </a:extLst>
        </xdr:cNvPr>
        <xdr:cNvSpPr/>
      </xdr:nvSpPr>
      <xdr:spPr>
        <a:xfrm>
          <a:off x="2286000" y="499110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1</xdr:col>
      <xdr:colOff>0</xdr:colOff>
      <xdr:row>13</xdr:row>
      <xdr:rowOff>304800</xdr:rowOff>
    </xdr:from>
    <xdr:to>
      <xdr:col>2</xdr:col>
      <xdr:colOff>1333500</xdr:colOff>
      <xdr:row>14</xdr:row>
      <xdr:rowOff>219075</xdr:rowOff>
    </xdr:to>
    <xdr:sp macro="" textlink="">
      <xdr:nvSpPr>
        <xdr:cNvPr id="37" name="Arrow: Right 36">
          <a:hlinkClick xmlns:r="http://schemas.openxmlformats.org/officeDocument/2006/relationships" r:id="rId4"/>
          <a:extLst>
            <a:ext uri="{FF2B5EF4-FFF2-40B4-BE49-F238E27FC236}">
              <a16:creationId xmlns:a16="http://schemas.microsoft.com/office/drawing/2014/main" id="{328EE08C-D6AC-44EE-840E-DE3BE95B71DE}"/>
            </a:ext>
          </a:extLst>
        </xdr:cNvPr>
        <xdr:cNvSpPr/>
      </xdr:nvSpPr>
      <xdr:spPr>
        <a:xfrm flipH="1">
          <a:off x="219075" y="499110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editAs="oneCell">
    <xdr:from>
      <xdr:col>7</xdr:col>
      <xdr:colOff>123825</xdr:colOff>
      <xdr:row>7</xdr:row>
      <xdr:rowOff>95250</xdr:rowOff>
    </xdr:from>
    <xdr:to>
      <xdr:col>7</xdr:col>
      <xdr:colOff>466725</xdr:colOff>
      <xdr:row>8</xdr:row>
      <xdr:rowOff>114300</xdr:rowOff>
    </xdr:to>
    <xdr:pic>
      <xdr:nvPicPr>
        <xdr:cNvPr id="39" name="Picture 38" descr="http://de.seaicons.com/wp-content/uploads/2015/11/15-Light-Bulb-icon.png">
          <a:extLst>
            <a:ext uri="{FF2B5EF4-FFF2-40B4-BE49-F238E27FC236}">
              <a16:creationId xmlns:a16="http://schemas.microsoft.com/office/drawing/2014/main" id="{2FD32851-5834-4333-9ED4-045B355FD26C}"/>
            </a:ext>
          </a:extLst>
        </xdr:cNvPr>
        <xdr:cNvPicPr>
          <a:picLocks noChangeAspect="1" noChangeArrowheads="1"/>
        </xdr:cNvPicPr>
      </xdr:nvPicPr>
      <xdr:blipFill>
        <a:blip xmlns:r="http://schemas.openxmlformats.org/officeDocument/2006/relationships" r:embed="rId5" cstate="print">
          <a:duotone>
            <a:prstClr val="black"/>
            <a:schemeClr val="tx2">
              <a:tint val="45000"/>
              <a:satMod val="400000"/>
            </a:schemeClr>
          </a:duotone>
          <a:extLst>
            <a:ext uri="{28A0092B-C50C-407E-A947-70E740481C1C}">
              <a14:useLocalDpi xmlns:a14="http://schemas.microsoft.com/office/drawing/2010/main" val="0"/>
            </a:ext>
          </a:extLst>
        </a:blip>
        <a:srcRect/>
        <a:stretch>
          <a:fillRect/>
        </a:stretch>
      </xdr:blipFill>
      <xdr:spPr bwMode="auto">
        <a:xfrm>
          <a:off x="4848225" y="1743075"/>
          <a:ext cx="34290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9525</xdr:colOff>
      <xdr:row>9</xdr:row>
      <xdr:rowOff>0</xdr:rowOff>
    </xdr:from>
    <xdr:to>
      <xdr:col>17</xdr:col>
      <xdr:colOff>190500</xdr:colOff>
      <xdr:row>10</xdr:row>
      <xdr:rowOff>523875</xdr:rowOff>
    </xdr:to>
    <xdr:sp macro="" textlink="">
      <xdr:nvSpPr>
        <xdr:cNvPr id="40" name="Rectangle: Rounded Corners 39">
          <a:extLst>
            <a:ext uri="{FF2B5EF4-FFF2-40B4-BE49-F238E27FC236}">
              <a16:creationId xmlns:a16="http://schemas.microsoft.com/office/drawing/2014/main" id="{C06B629E-4A3E-4DFB-B14A-06868B96E7DD}"/>
            </a:ext>
          </a:extLst>
        </xdr:cNvPr>
        <xdr:cNvSpPr/>
      </xdr:nvSpPr>
      <xdr:spPr>
        <a:xfrm>
          <a:off x="4733925" y="2600325"/>
          <a:ext cx="7705725" cy="847725"/>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tlCol="0" anchor="t"/>
        <a:lstStyle/>
        <a:p>
          <a:pPr algn="l">
            <a:lnSpc>
              <a:spcPct val="130000"/>
            </a:lnSpc>
          </a:pPr>
          <a:r>
            <a:rPr lang="de-DE" sz="1200" b="0" baseline="0">
              <a:solidFill>
                <a:schemeClr val="tx2"/>
              </a:solidFill>
              <a:latin typeface="Century Gothic" panose="020B0502020202020204" pitchFamily="34" charset="0"/>
            </a:rPr>
            <a:t>In diesem Jahr ist dein </a:t>
          </a:r>
          <a:r>
            <a:rPr lang="de-DE" sz="1200" b="1" baseline="0">
              <a:solidFill>
                <a:schemeClr val="tx2"/>
              </a:solidFill>
              <a:latin typeface="Century Gothic" panose="020B0502020202020204" pitchFamily="34" charset="0"/>
            </a:rPr>
            <a:t>Darlehen vollständig abbezahlt</a:t>
          </a:r>
          <a:r>
            <a:rPr lang="de-DE" sz="1200" b="0" baseline="0">
              <a:solidFill>
                <a:schemeClr val="tx2"/>
              </a:solidFill>
              <a:latin typeface="Century Gothic" panose="020B0502020202020204" pitchFamily="34" charset="0"/>
            </a:rPr>
            <a:t>. Ab dann steht dir ein Großteil der Miete als passives Einkommen zur Verfügung. Dieses Datum kann sich durch Zins- und Tilgungsänderungen bei Anschlussfinanzierungen in beide Richtungen verschieben.</a:t>
          </a:r>
        </a:p>
      </xdr:txBody>
    </xdr:sp>
    <xdr:clientData/>
  </xdr:twoCellAnchor>
  <xdr:twoCellAnchor editAs="oneCell">
    <xdr:from>
      <xdr:col>7</xdr:col>
      <xdr:colOff>123825</xdr:colOff>
      <xdr:row>9</xdr:row>
      <xdr:rowOff>85725</xdr:rowOff>
    </xdr:from>
    <xdr:to>
      <xdr:col>7</xdr:col>
      <xdr:colOff>466725</xdr:colOff>
      <xdr:row>10</xdr:row>
      <xdr:rowOff>104775</xdr:rowOff>
    </xdr:to>
    <xdr:pic>
      <xdr:nvPicPr>
        <xdr:cNvPr id="41" name="Picture 40" descr="http://de.seaicons.com/wp-content/uploads/2015/11/15-Light-Bulb-icon.png">
          <a:extLst>
            <a:ext uri="{FF2B5EF4-FFF2-40B4-BE49-F238E27FC236}">
              <a16:creationId xmlns:a16="http://schemas.microsoft.com/office/drawing/2014/main" id="{3EE48513-F45E-4093-973E-CD129350C2F6}"/>
            </a:ext>
          </a:extLst>
        </xdr:cNvPr>
        <xdr:cNvPicPr>
          <a:picLocks noChangeAspect="1" noChangeArrowheads="1"/>
        </xdr:cNvPicPr>
      </xdr:nvPicPr>
      <xdr:blipFill>
        <a:blip xmlns:r="http://schemas.openxmlformats.org/officeDocument/2006/relationships" r:embed="rId5" cstate="print">
          <a:duotone>
            <a:prstClr val="black"/>
            <a:schemeClr val="tx2">
              <a:tint val="45000"/>
              <a:satMod val="400000"/>
            </a:schemeClr>
          </a:duotone>
          <a:extLst>
            <a:ext uri="{28A0092B-C50C-407E-A947-70E740481C1C}">
              <a14:useLocalDpi xmlns:a14="http://schemas.microsoft.com/office/drawing/2010/main" val="0"/>
            </a:ext>
          </a:extLst>
        </a:blip>
        <a:srcRect/>
        <a:stretch>
          <a:fillRect/>
        </a:stretch>
      </xdr:blipFill>
      <xdr:spPr bwMode="auto">
        <a:xfrm>
          <a:off x="4848225" y="2686050"/>
          <a:ext cx="34290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9525</xdr:colOff>
      <xdr:row>11</xdr:row>
      <xdr:rowOff>9525</xdr:rowOff>
    </xdr:from>
    <xdr:to>
      <xdr:col>17</xdr:col>
      <xdr:colOff>190500</xdr:colOff>
      <xdr:row>13</xdr:row>
      <xdr:rowOff>314325</xdr:rowOff>
    </xdr:to>
    <xdr:sp macro="" textlink="">
      <xdr:nvSpPr>
        <xdr:cNvPr id="42" name="Rectangle: Rounded Corners 41">
          <a:extLst>
            <a:ext uri="{FF2B5EF4-FFF2-40B4-BE49-F238E27FC236}">
              <a16:creationId xmlns:a16="http://schemas.microsoft.com/office/drawing/2014/main" id="{2F5FC69C-1450-4538-9295-A8BCB79D6CEF}"/>
            </a:ext>
          </a:extLst>
        </xdr:cNvPr>
        <xdr:cNvSpPr/>
      </xdr:nvSpPr>
      <xdr:spPr>
        <a:xfrm>
          <a:off x="4733925" y="3562350"/>
          <a:ext cx="7705725" cy="847725"/>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tlCol="0" anchor="t"/>
        <a:lstStyle/>
        <a:p>
          <a:pPr algn="l">
            <a:lnSpc>
              <a:spcPct val="130000"/>
            </a:lnSpc>
          </a:pPr>
          <a:r>
            <a:rPr lang="de-DE" sz="1200" b="0" baseline="0">
              <a:solidFill>
                <a:schemeClr val="tx2"/>
              </a:solidFill>
              <a:latin typeface="Century Gothic" panose="020B0502020202020204" pitchFamily="34" charset="0"/>
            </a:rPr>
            <a:t>Um alle geplanten Kosten zu decken, ergibt sich nach Abzug deiner Darlehenssumme dieser </a:t>
          </a:r>
          <a:r>
            <a:rPr lang="de-DE" sz="1200" b="1" baseline="0">
              <a:solidFill>
                <a:schemeClr val="tx2"/>
              </a:solidFill>
              <a:latin typeface="Century Gothic" panose="020B0502020202020204" pitchFamily="34" charset="0"/>
            </a:rPr>
            <a:t>Eigenkapitalbedarf</a:t>
          </a:r>
          <a:r>
            <a:rPr lang="de-DE" sz="1200" b="0" baseline="0">
              <a:solidFill>
                <a:schemeClr val="tx2"/>
              </a:solidFill>
              <a:latin typeface="Century Gothic" panose="020B0502020202020204" pitchFamily="34" charset="0"/>
            </a:rPr>
            <a:t>. Du solltest danach noch einen ausreichenden </a:t>
          </a:r>
          <a:r>
            <a:rPr lang="de-DE" sz="1200" b="1" baseline="0">
              <a:solidFill>
                <a:schemeClr val="tx2"/>
              </a:solidFill>
              <a:latin typeface="Century Gothic" panose="020B0502020202020204" pitchFamily="34" charset="0"/>
            </a:rPr>
            <a:t>Puffer</a:t>
          </a:r>
          <a:r>
            <a:rPr lang="de-DE" sz="1200" b="0" baseline="0">
              <a:solidFill>
                <a:schemeClr val="tx2"/>
              </a:solidFill>
              <a:latin typeface="Century Gothic" panose="020B0502020202020204" pitchFamily="34" charset="0"/>
            </a:rPr>
            <a:t> auf deinem Konto übrig behalten, um unvohergesehene Kosten tragen zu können.</a:t>
          </a:r>
        </a:p>
      </xdr:txBody>
    </xdr:sp>
    <xdr:clientData/>
  </xdr:twoCellAnchor>
  <xdr:twoCellAnchor editAs="oneCell">
    <xdr:from>
      <xdr:col>7</xdr:col>
      <xdr:colOff>123825</xdr:colOff>
      <xdr:row>11</xdr:row>
      <xdr:rowOff>95250</xdr:rowOff>
    </xdr:from>
    <xdr:to>
      <xdr:col>7</xdr:col>
      <xdr:colOff>466725</xdr:colOff>
      <xdr:row>12</xdr:row>
      <xdr:rowOff>114300</xdr:rowOff>
    </xdr:to>
    <xdr:pic>
      <xdr:nvPicPr>
        <xdr:cNvPr id="43" name="Picture 42" descr="http://de.seaicons.com/wp-content/uploads/2015/11/15-Light-Bulb-icon.png">
          <a:extLst>
            <a:ext uri="{FF2B5EF4-FFF2-40B4-BE49-F238E27FC236}">
              <a16:creationId xmlns:a16="http://schemas.microsoft.com/office/drawing/2014/main" id="{079C559A-3D63-45F8-991B-56FF788B40D3}"/>
            </a:ext>
          </a:extLst>
        </xdr:cNvPr>
        <xdr:cNvPicPr>
          <a:picLocks noChangeAspect="1" noChangeArrowheads="1"/>
        </xdr:cNvPicPr>
      </xdr:nvPicPr>
      <xdr:blipFill>
        <a:blip xmlns:r="http://schemas.openxmlformats.org/officeDocument/2006/relationships" r:embed="rId5" cstate="print">
          <a:duotone>
            <a:prstClr val="black"/>
            <a:schemeClr val="tx2">
              <a:tint val="45000"/>
              <a:satMod val="400000"/>
            </a:schemeClr>
          </a:duotone>
          <a:extLst>
            <a:ext uri="{28A0092B-C50C-407E-A947-70E740481C1C}">
              <a14:useLocalDpi xmlns:a14="http://schemas.microsoft.com/office/drawing/2010/main" val="0"/>
            </a:ext>
          </a:extLst>
        </a:blip>
        <a:srcRect/>
        <a:stretch>
          <a:fillRect/>
        </a:stretch>
      </xdr:blipFill>
      <xdr:spPr bwMode="auto">
        <a:xfrm>
          <a:off x="4848225" y="3648075"/>
          <a:ext cx="34290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66675</xdr:colOff>
      <xdr:row>0</xdr:row>
      <xdr:rowOff>133350</xdr:rowOff>
    </xdr:from>
    <xdr:to>
      <xdr:col>17</xdr:col>
      <xdr:colOff>247650</xdr:colOff>
      <xdr:row>2</xdr:row>
      <xdr:rowOff>29325</xdr:rowOff>
    </xdr:to>
    <xdr:grpSp>
      <xdr:nvGrpSpPr>
        <xdr:cNvPr id="44" name="Group 43">
          <a:extLst>
            <a:ext uri="{FF2B5EF4-FFF2-40B4-BE49-F238E27FC236}">
              <a16:creationId xmlns:a16="http://schemas.microsoft.com/office/drawing/2014/main" id="{25F95823-721E-4F26-B857-83D175B565A7}"/>
            </a:ext>
          </a:extLst>
        </xdr:cNvPr>
        <xdr:cNvGrpSpPr/>
      </xdr:nvGrpSpPr>
      <xdr:grpSpPr>
        <a:xfrm>
          <a:off x="3355975" y="133350"/>
          <a:ext cx="10937875" cy="238875"/>
          <a:chOff x="2952750" y="137737"/>
          <a:chExt cx="9563100" cy="248400"/>
        </a:xfrm>
      </xdr:grpSpPr>
      <xdr:sp macro="" textlink="">
        <xdr:nvSpPr>
          <xdr:cNvPr id="45" name="Rectangle 44">
            <a:hlinkClick xmlns:r="http://schemas.openxmlformats.org/officeDocument/2006/relationships" r:id="rId6"/>
            <a:extLst>
              <a:ext uri="{FF2B5EF4-FFF2-40B4-BE49-F238E27FC236}">
                <a16:creationId xmlns:a16="http://schemas.microsoft.com/office/drawing/2014/main" id="{497ECF1D-1533-4381-9285-A6D9265B9ACC}"/>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46" name="Rectangle 45">
            <a:hlinkClick xmlns:r="http://schemas.openxmlformats.org/officeDocument/2006/relationships" r:id="rId7"/>
            <a:extLst>
              <a:ext uri="{FF2B5EF4-FFF2-40B4-BE49-F238E27FC236}">
                <a16:creationId xmlns:a16="http://schemas.microsoft.com/office/drawing/2014/main" id="{F3FA97BA-D85A-4824-A935-68CEB6244272}"/>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47" name="Rectangle 46">
            <a:hlinkClick xmlns:r="http://schemas.openxmlformats.org/officeDocument/2006/relationships" r:id="rId4"/>
            <a:extLst>
              <a:ext uri="{FF2B5EF4-FFF2-40B4-BE49-F238E27FC236}">
                <a16:creationId xmlns:a16="http://schemas.microsoft.com/office/drawing/2014/main" id="{44097281-9BC9-497D-B62A-FA170225D579}"/>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sng">
                <a:solidFill>
                  <a:schemeClr val="bg1"/>
                </a:solidFill>
                <a:latin typeface="+mn-lt"/>
              </a:rPr>
              <a:t>Finanzierung</a:t>
            </a:r>
          </a:p>
        </xdr:txBody>
      </xdr:sp>
      <xdr:sp macro="" textlink="">
        <xdr:nvSpPr>
          <xdr:cNvPr id="48" name="Rectangle 47">
            <a:hlinkClick xmlns:r="http://schemas.openxmlformats.org/officeDocument/2006/relationships" r:id="rId3"/>
            <a:extLst>
              <a:ext uri="{FF2B5EF4-FFF2-40B4-BE49-F238E27FC236}">
                <a16:creationId xmlns:a16="http://schemas.microsoft.com/office/drawing/2014/main" id="{46B938D6-4277-4403-A357-5BD8056D25E2}"/>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Hausgeld &amp;</a:t>
            </a:r>
            <a:r>
              <a:rPr lang="de-DE" sz="1050" baseline="0">
                <a:solidFill>
                  <a:schemeClr val="bg1"/>
                </a:solidFill>
                <a:latin typeface="+mn-lt"/>
              </a:rPr>
              <a:t> Rücklagen</a:t>
            </a:r>
            <a:endParaRPr lang="de-DE" sz="1050">
              <a:solidFill>
                <a:schemeClr val="bg1"/>
              </a:solidFill>
              <a:latin typeface="+mn-lt"/>
            </a:endParaRPr>
          </a:p>
        </xdr:txBody>
      </xdr:sp>
      <xdr:sp macro="" textlink="">
        <xdr:nvSpPr>
          <xdr:cNvPr id="49" name="Rectangle 48">
            <a:hlinkClick xmlns:r="http://schemas.openxmlformats.org/officeDocument/2006/relationships" r:id="rId8"/>
            <a:extLst>
              <a:ext uri="{FF2B5EF4-FFF2-40B4-BE49-F238E27FC236}">
                <a16:creationId xmlns:a16="http://schemas.microsoft.com/office/drawing/2014/main" id="{01D7F925-B9E8-47C6-99A3-E4A4F652920F}"/>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Zinsrisiko</a:t>
            </a:r>
          </a:p>
        </xdr:txBody>
      </xdr:sp>
      <xdr:sp macro="" textlink="">
        <xdr:nvSpPr>
          <xdr:cNvPr id="50" name="Rectangle 49">
            <a:hlinkClick xmlns:r="http://schemas.openxmlformats.org/officeDocument/2006/relationships" r:id="rId9"/>
            <a:extLst>
              <a:ext uri="{FF2B5EF4-FFF2-40B4-BE49-F238E27FC236}">
                <a16:creationId xmlns:a16="http://schemas.microsoft.com/office/drawing/2014/main" id="{2DDF2B40-F2B2-44A5-BFE0-C04AA387216B}"/>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Steuern</a:t>
            </a:r>
          </a:p>
        </xdr:txBody>
      </xdr:sp>
      <xdr:sp macro="" textlink="">
        <xdr:nvSpPr>
          <xdr:cNvPr id="51" name="Rectangle 50">
            <a:hlinkClick xmlns:r="http://schemas.openxmlformats.org/officeDocument/2006/relationships" r:id="rId10"/>
            <a:extLst>
              <a:ext uri="{FF2B5EF4-FFF2-40B4-BE49-F238E27FC236}">
                <a16:creationId xmlns:a16="http://schemas.microsoft.com/office/drawing/2014/main" id="{A1F5B660-BD83-4349-95C9-E4989D5ACDF7}"/>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52" name="Rectangle 51">
            <a:extLst>
              <a:ext uri="{FF2B5EF4-FFF2-40B4-BE49-F238E27FC236}">
                <a16:creationId xmlns:a16="http://schemas.microsoft.com/office/drawing/2014/main" id="{00DEE77C-6BE1-4BD5-A2EE-693793AAC881}"/>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3" name="Rectangle 52">
            <a:extLst>
              <a:ext uri="{FF2B5EF4-FFF2-40B4-BE49-F238E27FC236}">
                <a16:creationId xmlns:a16="http://schemas.microsoft.com/office/drawing/2014/main" id="{782B730D-C631-4042-B7BF-46B54BC9AA57}"/>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4" name="Rectangle 53">
            <a:extLst>
              <a:ext uri="{FF2B5EF4-FFF2-40B4-BE49-F238E27FC236}">
                <a16:creationId xmlns:a16="http://schemas.microsoft.com/office/drawing/2014/main" id="{2D276BB3-A834-4036-A499-8F0D494DF431}"/>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5" name="Rectangle 54">
            <a:extLst>
              <a:ext uri="{FF2B5EF4-FFF2-40B4-BE49-F238E27FC236}">
                <a16:creationId xmlns:a16="http://schemas.microsoft.com/office/drawing/2014/main" id="{99E644EF-A334-4A63-88C0-304807D7A413}"/>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6" name="Rectangle 55">
            <a:extLst>
              <a:ext uri="{FF2B5EF4-FFF2-40B4-BE49-F238E27FC236}">
                <a16:creationId xmlns:a16="http://schemas.microsoft.com/office/drawing/2014/main" id="{CE514720-90BF-4CFC-854B-7C377F69B16F}"/>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7" name="Rectangle 56">
            <a:extLst>
              <a:ext uri="{FF2B5EF4-FFF2-40B4-BE49-F238E27FC236}">
                <a16:creationId xmlns:a16="http://schemas.microsoft.com/office/drawing/2014/main" id="{E19AC9B9-C4CF-4717-ACCC-B3AFE12EC472}"/>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8" name="Rectangle 57">
            <a:extLst>
              <a:ext uri="{FF2B5EF4-FFF2-40B4-BE49-F238E27FC236}">
                <a16:creationId xmlns:a16="http://schemas.microsoft.com/office/drawing/2014/main" id="{15569BA2-8577-4D14-80FB-0A2F630BAB24}"/>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9" name="Rectangle: Rounded Corners 58">
            <a:hlinkClick xmlns:r="http://schemas.openxmlformats.org/officeDocument/2006/relationships" r:id="rId11"/>
            <a:extLst>
              <a:ext uri="{FF2B5EF4-FFF2-40B4-BE49-F238E27FC236}">
                <a16:creationId xmlns:a16="http://schemas.microsoft.com/office/drawing/2014/main" id="{369BD69A-09AA-422B-BCAD-DC897B594C52}"/>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60" name="Rectangle 59">
            <a:extLst>
              <a:ext uri="{FF2B5EF4-FFF2-40B4-BE49-F238E27FC236}">
                <a16:creationId xmlns:a16="http://schemas.microsoft.com/office/drawing/2014/main" id="{D92762AD-9762-4D99-AD93-6F2F36A58367}"/>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1" name="Rectangle: Rounded Corners 60">
            <a:hlinkClick xmlns:r="http://schemas.openxmlformats.org/officeDocument/2006/relationships" r:id="rId12"/>
            <a:extLst>
              <a:ext uri="{FF2B5EF4-FFF2-40B4-BE49-F238E27FC236}">
                <a16:creationId xmlns:a16="http://schemas.microsoft.com/office/drawing/2014/main" id="{63F16ABC-38C5-44F2-89B4-F3F514F2C3EC}"/>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mc:AlternateContent xmlns:mc="http://schemas.openxmlformats.org/markup-compatibility/2006">
    <mc:Choice xmlns:a14="http://schemas.microsoft.com/office/drawing/2010/main" Requires="a14">
      <xdr:twoCellAnchor editAs="oneCell">
        <xdr:from>
          <xdr:col>6</xdr:col>
          <xdr:colOff>590550</xdr:colOff>
          <xdr:row>3</xdr:row>
          <xdr:rowOff>161925</xdr:rowOff>
        </xdr:from>
        <xdr:to>
          <xdr:col>10</xdr:col>
          <xdr:colOff>209550</xdr:colOff>
          <xdr:row>4</xdr:row>
          <xdr:rowOff>180975</xdr:rowOff>
        </xdr:to>
        <xdr:pic>
          <xdr:nvPicPr>
            <xdr:cNvPr id="82" name="Picture 81">
              <a:extLst>
                <a:ext uri="{FF2B5EF4-FFF2-40B4-BE49-F238E27FC236}">
                  <a16:creationId xmlns:a16="http://schemas.microsoft.com/office/drawing/2014/main" id="{F3FAB7DA-C2E9-4146-92AD-260296DA4DDC}"/>
                </a:ext>
              </a:extLst>
            </xdr:cNvPr>
            <xdr:cNvPicPr>
              <a:picLocks noChangeAspect="1" noChangeArrowheads="1"/>
              <a:extLst>
                <a:ext uri="{84589F7E-364E-4C9E-8A38-B11213B215E9}">
                  <a14:cameraTool cellRange="cnfg_rf!$G$36" spid="_x0000_s8258"/>
                </a:ext>
              </a:extLst>
            </xdr:cNvPicPr>
          </xdr:nvPicPr>
          <xdr:blipFill>
            <a:blip xmlns:r="http://schemas.openxmlformats.org/officeDocument/2006/relationships" r:embed="rId13"/>
            <a:srcRect/>
            <a:stretch>
              <a:fillRect/>
            </a:stretch>
          </xdr:blipFill>
          <xdr:spPr bwMode="auto">
            <a:xfrm>
              <a:off x="4705350" y="676275"/>
              <a:ext cx="2486025" cy="25717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342900</xdr:colOff>
          <xdr:row>3</xdr:row>
          <xdr:rowOff>161925</xdr:rowOff>
        </xdr:from>
        <xdr:to>
          <xdr:col>17</xdr:col>
          <xdr:colOff>276225</xdr:colOff>
          <xdr:row>4</xdr:row>
          <xdr:rowOff>190500</xdr:rowOff>
        </xdr:to>
        <xdr:pic>
          <xdr:nvPicPr>
            <xdr:cNvPr id="83" name="Picture 82">
              <a:extLst>
                <a:ext uri="{FF2B5EF4-FFF2-40B4-BE49-F238E27FC236}">
                  <a16:creationId xmlns:a16="http://schemas.microsoft.com/office/drawing/2014/main" id="{44BB21B0-FF5A-40D1-9155-446763B70176}"/>
                </a:ext>
              </a:extLst>
            </xdr:cNvPr>
            <xdr:cNvPicPr>
              <a:picLocks noChangeAspect="1" noChangeArrowheads="1"/>
              <a:extLst>
                <a:ext uri="{84589F7E-364E-4C9E-8A38-B11213B215E9}">
                  <a14:cameraTool cellRange="cnfg_rf!$G$38" spid="_x0000_s8259"/>
                </a:ext>
              </a:extLst>
            </xdr:cNvPicPr>
          </xdr:nvPicPr>
          <xdr:blipFill>
            <a:blip xmlns:r="http://schemas.openxmlformats.org/officeDocument/2006/relationships" r:embed="rId14"/>
            <a:srcRect/>
            <a:stretch>
              <a:fillRect/>
            </a:stretch>
          </xdr:blipFill>
          <xdr:spPr bwMode="auto">
            <a:xfrm>
              <a:off x="10334625" y="676275"/>
              <a:ext cx="2190750" cy="266700"/>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6</xdr:col>
      <xdr:colOff>600075</xdr:colOff>
      <xdr:row>3</xdr:row>
      <xdr:rowOff>142875</xdr:rowOff>
    </xdr:from>
    <xdr:to>
      <xdr:col>17</xdr:col>
      <xdr:colOff>237557</xdr:colOff>
      <xdr:row>5</xdr:row>
      <xdr:rowOff>246460</xdr:rowOff>
    </xdr:to>
    <xdr:grpSp>
      <xdr:nvGrpSpPr>
        <xdr:cNvPr id="62" name="Group 61">
          <a:extLst>
            <a:ext uri="{FF2B5EF4-FFF2-40B4-BE49-F238E27FC236}">
              <a16:creationId xmlns:a16="http://schemas.microsoft.com/office/drawing/2014/main" id="{E820ADB3-43B0-4D51-AC2B-54EB28277976}"/>
            </a:ext>
          </a:extLst>
        </xdr:cNvPr>
        <xdr:cNvGrpSpPr/>
      </xdr:nvGrpSpPr>
      <xdr:grpSpPr>
        <a:xfrm>
          <a:off x="5311775" y="638175"/>
          <a:ext cx="8971982" cy="560785"/>
          <a:chOff x="4705350" y="652463"/>
          <a:chExt cx="7771832" cy="579835"/>
        </a:xfrm>
      </xdr:grpSpPr>
      <xdr:grpSp>
        <xdr:nvGrpSpPr>
          <xdr:cNvPr id="63" name="Group 62">
            <a:extLst>
              <a:ext uri="{FF2B5EF4-FFF2-40B4-BE49-F238E27FC236}">
                <a16:creationId xmlns:a16="http://schemas.microsoft.com/office/drawing/2014/main" id="{EA4A63B1-0F9D-4B41-B1FE-14743E6FB06B}"/>
              </a:ext>
            </a:extLst>
          </xdr:cNvPr>
          <xdr:cNvGrpSpPr/>
        </xdr:nvGrpSpPr>
        <xdr:grpSpPr>
          <a:xfrm>
            <a:off x="4705350" y="652463"/>
            <a:ext cx="7771832" cy="257175"/>
            <a:chOff x="4705350" y="642938"/>
            <a:chExt cx="7771832" cy="257175"/>
          </a:xfrm>
        </xdr:grpSpPr>
        <xdr:sp macro="" textlink="">
          <xdr:nvSpPr>
            <xdr:cNvPr id="71" name="Rectangle 70">
              <a:extLst>
                <a:ext uri="{FF2B5EF4-FFF2-40B4-BE49-F238E27FC236}">
                  <a16:creationId xmlns:a16="http://schemas.microsoft.com/office/drawing/2014/main" id="{A4C16F56-1A28-4C38-9C7C-2730B0A4EB3A}"/>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72" name="Rectangle 71">
              <a:extLst>
                <a:ext uri="{FF2B5EF4-FFF2-40B4-BE49-F238E27FC236}">
                  <a16:creationId xmlns:a16="http://schemas.microsoft.com/office/drawing/2014/main" id="{9286E8C1-389B-47A4-BCED-3F6F378A15C2}"/>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73" name="Rectangle 72">
              <a:extLst>
                <a:ext uri="{FF2B5EF4-FFF2-40B4-BE49-F238E27FC236}">
                  <a16:creationId xmlns:a16="http://schemas.microsoft.com/office/drawing/2014/main" id="{4D906999-4386-4900-AC80-054B61B4F5DD}"/>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74" name="Rectangle 73">
              <a:extLst>
                <a:ext uri="{FF2B5EF4-FFF2-40B4-BE49-F238E27FC236}">
                  <a16:creationId xmlns:a16="http://schemas.microsoft.com/office/drawing/2014/main" id="{D2F5D775-12A0-498B-A9C3-B65F3BB6D9F3}"/>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B6D21841-7808-4200-B868-33A5AFFD9A9E}"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75" name="Rectangle 74">
              <a:extLst>
                <a:ext uri="{FF2B5EF4-FFF2-40B4-BE49-F238E27FC236}">
                  <a16:creationId xmlns:a16="http://schemas.microsoft.com/office/drawing/2014/main" id="{C2F55226-59A4-49E2-9258-C4FD9234593B}"/>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6722DF32-F262-4FB5-BA91-0B2016916D5F}"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76" name="Rectangle 75">
              <a:extLst>
                <a:ext uri="{FF2B5EF4-FFF2-40B4-BE49-F238E27FC236}">
                  <a16:creationId xmlns:a16="http://schemas.microsoft.com/office/drawing/2014/main" id="{F6F25CCD-D4E6-4092-95D6-CED7291C987D}"/>
                </a:ext>
              </a:extLst>
            </xdr:cNvPr>
            <xdr:cNvSpPr/>
          </xdr:nvSpPr>
          <xdr:spPr>
            <a:xfrm>
              <a:off x="11268075" y="642938"/>
              <a:ext cx="1209107"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DFF6C4CD-C2D8-46F9-A81F-BAF65FAF3437}"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64" name="Group 63">
            <a:extLst>
              <a:ext uri="{FF2B5EF4-FFF2-40B4-BE49-F238E27FC236}">
                <a16:creationId xmlns:a16="http://schemas.microsoft.com/office/drawing/2014/main" id="{1E0E4E66-6F92-49F0-A604-DEF54C96FCD9}"/>
              </a:ext>
            </a:extLst>
          </xdr:cNvPr>
          <xdr:cNvGrpSpPr/>
        </xdr:nvGrpSpPr>
        <xdr:grpSpPr>
          <a:xfrm>
            <a:off x="4705350" y="975123"/>
            <a:ext cx="7771832" cy="257175"/>
            <a:chOff x="4705350" y="975123"/>
            <a:chExt cx="7771832" cy="257175"/>
          </a:xfrm>
        </xdr:grpSpPr>
        <xdr:sp macro="" textlink="">
          <xdr:nvSpPr>
            <xdr:cNvPr id="65" name="Rectangle 64">
              <a:extLst>
                <a:ext uri="{FF2B5EF4-FFF2-40B4-BE49-F238E27FC236}">
                  <a16:creationId xmlns:a16="http://schemas.microsoft.com/office/drawing/2014/main" id="{B7106780-516A-440A-B56B-8FFB43BCC0FF}"/>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66" name="Rectangle 65">
              <a:extLst>
                <a:ext uri="{FF2B5EF4-FFF2-40B4-BE49-F238E27FC236}">
                  <a16:creationId xmlns:a16="http://schemas.microsoft.com/office/drawing/2014/main" id="{A3634C28-2884-4D8E-B323-E73548E6DD0C}"/>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67" name="Rectangle 66">
              <a:extLst>
                <a:ext uri="{FF2B5EF4-FFF2-40B4-BE49-F238E27FC236}">
                  <a16:creationId xmlns:a16="http://schemas.microsoft.com/office/drawing/2014/main" id="{91FAEFAA-30AD-4C66-8AD1-E95602093BD0}"/>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68" name="Rectangle 67">
              <a:extLst>
                <a:ext uri="{FF2B5EF4-FFF2-40B4-BE49-F238E27FC236}">
                  <a16:creationId xmlns:a16="http://schemas.microsoft.com/office/drawing/2014/main" id="{80158FB9-EB75-4724-95D4-861DB62D4A96}"/>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D09CEB86-39A0-4F3A-B664-BB10E583443F}"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69" name="Rectangle 68">
              <a:extLst>
                <a:ext uri="{FF2B5EF4-FFF2-40B4-BE49-F238E27FC236}">
                  <a16:creationId xmlns:a16="http://schemas.microsoft.com/office/drawing/2014/main" id="{BB3ABFC3-72F0-4CAA-BFEE-0E159B0B6E38}"/>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B135EE4A-B36A-43C6-B8ED-0278BEC0AB4C}"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70" name="Rectangle 69">
              <a:extLst>
                <a:ext uri="{FF2B5EF4-FFF2-40B4-BE49-F238E27FC236}">
                  <a16:creationId xmlns:a16="http://schemas.microsoft.com/office/drawing/2014/main" id="{DCBA4D44-A537-47D7-9E2E-4052568972D3}"/>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E8051840-2F85-41CF-AB64-48FD29F22735}"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E9D261A7-44A9-4D9B-B232-1DD8127978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4C860953-667C-41DA-AE3B-5F23FD131F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19051</xdr:colOff>
      <xdr:row>6</xdr:row>
      <xdr:rowOff>276224</xdr:rowOff>
    </xdr:from>
    <xdr:to>
      <xdr:col>17</xdr:col>
      <xdr:colOff>200026</xdr:colOff>
      <xdr:row>8</xdr:row>
      <xdr:rowOff>542925</xdr:rowOff>
    </xdr:to>
    <xdr:sp macro="" textlink="">
      <xdr:nvSpPr>
        <xdr:cNvPr id="12" name="Rectangle: Rounded Corners 11">
          <a:extLst>
            <a:ext uri="{FF2B5EF4-FFF2-40B4-BE49-F238E27FC236}">
              <a16:creationId xmlns:a16="http://schemas.microsoft.com/office/drawing/2014/main" id="{D31CAD42-7FBE-4BD0-B055-DDE5F305EE11}"/>
            </a:ext>
          </a:extLst>
        </xdr:cNvPr>
        <xdr:cNvSpPr/>
      </xdr:nvSpPr>
      <xdr:spPr>
        <a:xfrm>
          <a:off x="4743451" y="1647824"/>
          <a:ext cx="7705725" cy="866776"/>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90000" rtlCol="0" anchor="t"/>
        <a:lstStyle/>
        <a:p>
          <a:pPr algn="l">
            <a:lnSpc>
              <a:spcPct val="130000"/>
            </a:lnSpc>
          </a:pPr>
          <a:r>
            <a:rPr lang="de-DE" sz="1200" b="0" baseline="0">
              <a:solidFill>
                <a:schemeClr val="tx2"/>
              </a:solidFill>
              <a:latin typeface="Century Gothic" panose="020B0502020202020204" pitchFamily="34" charset="0"/>
            </a:rPr>
            <a:t>Gib hier die monatlichen </a:t>
          </a:r>
          <a:r>
            <a:rPr lang="de-DE" sz="1200" b="1" baseline="0">
              <a:solidFill>
                <a:schemeClr val="tx2"/>
              </a:solidFill>
              <a:latin typeface="Century Gothic" panose="020B0502020202020204" pitchFamily="34" charset="0"/>
            </a:rPr>
            <a:t>nicht-umlagefähigen Kosten </a:t>
          </a:r>
          <a:r>
            <a:rPr lang="de-DE" sz="1200" b="0" baseline="0">
              <a:solidFill>
                <a:schemeClr val="tx2"/>
              </a:solidFill>
              <a:latin typeface="Century Gothic" panose="020B0502020202020204" pitchFamily="34" charset="0"/>
            </a:rPr>
            <a:t>aus dem aktuellen Wirtschaftsplan ein. Also den Betrag, den du jeden Monat an die Hausverwaltung überweist und nicht auf den Mieter umlegen darfst.</a:t>
          </a:r>
        </a:p>
      </xdr:txBody>
    </xdr:sp>
    <xdr:clientData/>
  </xdr:twoCellAnchor>
  <xdr:twoCellAnchor>
    <xdr:from>
      <xdr:col>3</xdr:col>
      <xdr:colOff>342900</xdr:colOff>
      <xdr:row>14</xdr:row>
      <xdr:rowOff>400050</xdr:rowOff>
    </xdr:from>
    <xdr:to>
      <xdr:col>5</xdr:col>
      <xdr:colOff>9525</xdr:colOff>
      <xdr:row>15</xdr:row>
      <xdr:rowOff>314325</xdr:rowOff>
    </xdr:to>
    <xdr:sp macro="" textlink="">
      <xdr:nvSpPr>
        <xdr:cNvPr id="13" name="Arrow: Right 12">
          <a:hlinkClick xmlns:r="http://schemas.openxmlformats.org/officeDocument/2006/relationships" r:id="rId3"/>
          <a:extLst>
            <a:ext uri="{FF2B5EF4-FFF2-40B4-BE49-F238E27FC236}">
              <a16:creationId xmlns:a16="http://schemas.microsoft.com/office/drawing/2014/main" id="{658F7839-6A96-4A09-8EBC-712112DBCCA1}"/>
            </a:ext>
          </a:extLst>
        </xdr:cNvPr>
        <xdr:cNvSpPr/>
      </xdr:nvSpPr>
      <xdr:spPr>
        <a:xfrm>
          <a:off x="2286000" y="476250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1</xdr:col>
      <xdr:colOff>0</xdr:colOff>
      <xdr:row>14</xdr:row>
      <xdr:rowOff>400050</xdr:rowOff>
    </xdr:from>
    <xdr:to>
      <xdr:col>2</xdr:col>
      <xdr:colOff>1333500</xdr:colOff>
      <xdr:row>15</xdr:row>
      <xdr:rowOff>314325</xdr:rowOff>
    </xdr:to>
    <xdr:sp macro="" textlink="">
      <xdr:nvSpPr>
        <xdr:cNvPr id="37" name="Arrow: Right 36">
          <a:hlinkClick xmlns:r="http://schemas.openxmlformats.org/officeDocument/2006/relationships" r:id="rId4"/>
          <a:extLst>
            <a:ext uri="{FF2B5EF4-FFF2-40B4-BE49-F238E27FC236}">
              <a16:creationId xmlns:a16="http://schemas.microsoft.com/office/drawing/2014/main" id="{8C2B7120-6174-4057-8706-0CD724F0D4E7}"/>
            </a:ext>
          </a:extLst>
        </xdr:cNvPr>
        <xdr:cNvSpPr/>
      </xdr:nvSpPr>
      <xdr:spPr>
        <a:xfrm flipH="1">
          <a:off x="219075" y="476250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7</xdr:col>
      <xdr:colOff>19051</xdr:colOff>
      <xdr:row>9</xdr:row>
      <xdr:rowOff>190498</xdr:rowOff>
    </xdr:from>
    <xdr:to>
      <xdr:col>17</xdr:col>
      <xdr:colOff>200026</xdr:colOff>
      <xdr:row>14</xdr:row>
      <xdr:rowOff>447675</xdr:rowOff>
    </xdr:to>
    <xdr:sp macro="" textlink="">
      <xdr:nvSpPr>
        <xdr:cNvPr id="44" name="Rectangle: Rounded Corners 43">
          <a:extLst>
            <a:ext uri="{FF2B5EF4-FFF2-40B4-BE49-F238E27FC236}">
              <a16:creationId xmlns:a16="http://schemas.microsoft.com/office/drawing/2014/main" id="{8EE4A1E6-33EA-4A72-9164-9267D9F40D39}"/>
            </a:ext>
          </a:extLst>
        </xdr:cNvPr>
        <xdr:cNvSpPr/>
      </xdr:nvSpPr>
      <xdr:spPr>
        <a:xfrm>
          <a:off x="4743451" y="2828923"/>
          <a:ext cx="7705725" cy="1981202"/>
        </a:xfrm>
        <a:prstGeom prst="roundRect">
          <a:avLst>
            <a:gd name="adj" fmla="val 1836"/>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90000" rtlCol="0" anchor="t"/>
        <a:lstStyle/>
        <a:p>
          <a:pPr algn="l">
            <a:lnSpc>
              <a:spcPct val="130000"/>
            </a:lnSpc>
            <a:spcAft>
              <a:spcPts val="1200"/>
            </a:spcAft>
          </a:pPr>
          <a:r>
            <a:rPr lang="de-DE" sz="1200" b="0" baseline="0">
              <a:solidFill>
                <a:schemeClr val="tx2"/>
              </a:solidFill>
              <a:latin typeface="Century Gothic" panose="020B0502020202020204" pitchFamily="34" charset="0"/>
            </a:rPr>
            <a:t>Welchen Teil der </a:t>
          </a:r>
          <a:r>
            <a:rPr lang="de-DE" sz="1200" b="1" baseline="0">
              <a:solidFill>
                <a:schemeClr val="tx2"/>
              </a:solidFill>
              <a:latin typeface="Century Gothic" panose="020B0502020202020204" pitchFamily="34" charset="0"/>
            </a:rPr>
            <a:t>Miete</a:t>
          </a:r>
          <a:r>
            <a:rPr lang="de-DE" sz="1200" b="0" baseline="0">
              <a:solidFill>
                <a:schemeClr val="tx2"/>
              </a:solidFill>
              <a:latin typeface="Century Gothic" panose="020B0502020202020204" pitchFamily="34" charset="0"/>
            </a:rPr>
            <a:t> willst du für Zeiten </a:t>
          </a:r>
          <a:r>
            <a:rPr lang="de-DE" sz="1200" b="1" baseline="0">
              <a:solidFill>
                <a:schemeClr val="tx2"/>
              </a:solidFill>
              <a:latin typeface="Century Gothic" panose="020B0502020202020204" pitchFamily="34" charset="0"/>
            </a:rPr>
            <a:t>zurücklegen</a:t>
          </a:r>
          <a:r>
            <a:rPr lang="de-DE" sz="1200" b="0" baseline="0">
              <a:solidFill>
                <a:schemeClr val="tx2"/>
              </a:solidFill>
              <a:latin typeface="Century Gothic" panose="020B0502020202020204" pitchFamily="34" charset="0"/>
            </a:rPr>
            <a:t>, in denen die </a:t>
          </a:r>
          <a:r>
            <a:rPr lang="de-DE" sz="1200" b="1" baseline="0">
              <a:solidFill>
                <a:schemeClr val="tx2"/>
              </a:solidFill>
              <a:latin typeface="Century Gothic" panose="020B0502020202020204" pitchFamily="34" charset="0"/>
            </a:rPr>
            <a:t>Wohnung</a:t>
          </a:r>
          <a:r>
            <a:rPr lang="de-DE" sz="1200" b="0" baseline="0">
              <a:solidFill>
                <a:schemeClr val="tx2"/>
              </a:solidFill>
              <a:latin typeface="Century Gothic" panose="020B0502020202020204" pitchFamily="34" charset="0"/>
            </a:rPr>
            <a:t> einmal </a:t>
          </a:r>
          <a:r>
            <a:rPr lang="de-DE" sz="1200" b="1" baseline="0">
              <a:solidFill>
                <a:schemeClr val="tx2"/>
              </a:solidFill>
              <a:latin typeface="Century Gothic" panose="020B0502020202020204" pitchFamily="34" charset="0"/>
            </a:rPr>
            <a:t>leer steht</a:t>
          </a:r>
          <a:r>
            <a:rPr lang="de-DE" sz="1200" b="0" baseline="0">
              <a:solidFill>
                <a:schemeClr val="tx2"/>
              </a:solidFill>
              <a:latin typeface="Century Gothic" panose="020B0502020202020204" pitchFamily="34" charset="0"/>
            </a:rPr>
            <a:t>. Die richtige Höhe hängt von der Lage und Vermietbarkeit der Wohnung ab. Unsere Standard-Annahme für Städte mit guten Zukunftschancen ist 3%.</a:t>
          </a:r>
        </a:p>
        <a:p>
          <a:pPr algn="l">
            <a:lnSpc>
              <a:spcPct val="130000"/>
            </a:lnSpc>
            <a:spcAft>
              <a:spcPts val="1200"/>
            </a:spcAft>
          </a:pPr>
          <a:r>
            <a:rPr lang="de-DE" sz="1200" b="0" baseline="0">
              <a:solidFill>
                <a:schemeClr val="tx2"/>
              </a:solidFill>
              <a:latin typeface="Century Gothic" panose="020B0502020202020204" pitchFamily="34" charset="0"/>
            </a:rPr>
            <a:t>Wie viel Geld willst du für spätere </a:t>
          </a:r>
          <a:r>
            <a:rPr lang="de-DE" sz="1200" b="1" baseline="0">
              <a:solidFill>
                <a:schemeClr val="tx2"/>
              </a:solidFill>
              <a:latin typeface="Century Gothic" panose="020B0502020202020204" pitchFamily="34" charset="0"/>
            </a:rPr>
            <a:t>Renovierungen</a:t>
          </a:r>
          <a:r>
            <a:rPr lang="de-DE" sz="1200" b="0" baseline="0">
              <a:solidFill>
                <a:schemeClr val="tx2"/>
              </a:solidFill>
              <a:latin typeface="Century Gothic" panose="020B0502020202020204" pitchFamily="34" charset="0"/>
            </a:rPr>
            <a:t> deiner Wohnung zurücklegen? Wie viel Geld eine Renovierung kostet, hängt immer von der Größe der Wohnung ab. Deshalb wird der Wert pro m² Wohnfläche und Jahr angegeben. Der richtige Wert hängt immer auch von Zustand und Alter der Wohnung ab. Unsere Standard-Empfehlung ist 10 Euro pro m² Wohnfläche und Jahr.</a:t>
          </a:r>
        </a:p>
      </xdr:txBody>
    </xdr:sp>
    <xdr:clientData/>
  </xdr:twoCellAnchor>
  <xdr:twoCellAnchor>
    <xdr:from>
      <xdr:col>4</xdr:col>
      <xdr:colOff>76200</xdr:colOff>
      <xdr:row>0</xdr:row>
      <xdr:rowOff>133350</xdr:rowOff>
    </xdr:from>
    <xdr:to>
      <xdr:col>17</xdr:col>
      <xdr:colOff>257175</xdr:colOff>
      <xdr:row>2</xdr:row>
      <xdr:rowOff>29325</xdr:rowOff>
    </xdr:to>
    <xdr:grpSp>
      <xdr:nvGrpSpPr>
        <xdr:cNvPr id="39" name="Group 38">
          <a:extLst>
            <a:ext uri="{FF2B5EF4-FFF2-40B4-BE49-F238E27FC236}">
              <a16:creationId xmlns:a16="http://schemas.microsoft.com/office/drawing/2014/main" id="{DFC33493-620B-4331-B8EB-F9ECAB8466C9}"/>
            </a:ext>
          </a:extLst>
        </xdr:cNvPr>
        <xdr:cNvGrpSpPr/>
      </xdr:nvGrpSpPr>
      <xdr:grpSpPr>
        <a:xfrm>
          <a:off x="3365500" y="133350"/>
          <a:ext cx="10937875" cy="238875"/>
          <a:chOff x="2952750" y="137737"/>
          <a:chExt cx="9563100" cy="248400"/>
        </a:xfrm>
      </xdr:grpSpPr>
      <xdr:sp macro="" textlink="">
        <xdr:nvSpPr>
          <xdr:cNvPr id="40" name="Rectangle 39">
            <a:hlinkClick xmlns:r="http://schemas.openxmlformats.org/officeDocument/2006/relationships" r:id="rId5"/>
            <a:extLst>
              <a:ext uri="{FF2B5EF4-FFF2-40B4-BE49-F238E27FC236}">
                <a16:creationId xmlns:a16="http://schemas.microsoft.com/office/drawing/2014/main" id="{14BECDAE-2FEB-48E9-BAD4-18488A4433BC}"/>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41" name="Rectangle 40">
            <a:hlinkClick xmlns:r="http://schemas.openxmlformats.org/officeDocument/2006/relationships" r:id="rId6"/>
            <a:extLst>
              <a:ext uri="{FF2B5EF4-FFF2-40B4-BE49-F238E27FC236}">
                <a16:creationId xmlns:a16="http://schemas.microsoft.com/office/drawing/2014/main" id="{277DD67A-FC07-4554-8F8D-4794473C02FC}"/>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42" name="Rectangle 41">
            <a:hlinkClick xmlns:r="http://schemas.openxmlformats.org/officeDocument/2006/relationships" r:id="rId7"/>
            <a:extLst>
              <a:ext uri="{FF2B5EF4-FFF2-40B4-BE49-F238E27FC236}">
                <a16:creationId xmlns:a16="http://schemas.microsoft.com/office/drawing/2014/main" id="{56B44036-9B02-4810-AE7B-938DE34DAA84}"/>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Finanzierung</a:t>
            </a:r>
          </a:p>
        </xdr:txBody>
      </xdr:sp>
      <xdr:sp macro="" textlink="">
        <xdr:nvSpPr>
          <xdr:cNvPr id="43" name="Rectangle 42">
            <a:hlinkClick xmlns:r="http://schemas.openxmlformats.org/officeDocument/2006/relationships" r:id="rId8"/>
            <a:extLst>
              <a:ext uri="{FF2B5EF4-FFF2-40B4-BE49-F238E27FC236}">
                <a16:creationId xmlns:a16="http://schemas.microsoft.com/office/drawing/2014/main" id="{735C7F2D-8FC9-45B7-9E9E-CEB750C0C84A}"/>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sng">
                <a:solidFill>
                  <a:schemeClr val="bg1"/>
                </a:solidFill>
                <a:latin typeface="+mn-lt"/>
              </a:rPr>
              <a:t>Hausgeld &amp;</a:t>
            </a:r>
            <a:r>
              <a:rPr lang="de-DE" sz="1050" u="sng" baseline="0">
                <a:solidFill>
                  <a:schemeClr val="bg1"/>
                </a:solidFill>
                <a:latin typeface="+mn-lt"/>
              </a:rPr>
              <a:t> Rücklagen</a:t>
            </a:r>
            <a:endParaRPr lang="de-DE" sz="1050" u="sng">
              <a:solidFill>
                <a:schemeClr val="bg1"/>
              </a:solidFill>
              <a:latin typeface="+mn-lt"/>
            </a:endParaRPr>
          </a:p>
        </xdr:txBody>
      </xdr:sp>
      <xdr:sp macro="" textlink="">
        <xdr:nvSpPr>
          <xdr:cNvPr id="45" name="Rectangle 44">
            <a:hlinkClick xmlns:r="http://schemas.openxmlformats.org/officeDocument/2006/relationships" r:id="rId9"/>
            <a:extLst>
              <a:ext uri="{FF2B5EF4-FFF2-40B4-BE49-F238E27FC236}">
                <a16:creationId xmlns:a16="http://schemas.microsoft.com/office/drawing/2014/main" id="{215ADCEC-ADD8-469D-A5A9-575FC8F14572}"/>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Zinsrisiko</a:t>
            </a:r>
          </a:p>
        </xdr:txBody>
      </xdr:sp>
      <xdr:sp macro="" textlink="">
        <xdr:nvSpPr>
          <xdr:cNvPr id="46" name="Rectangle 45">
            <a:hlinkClick xmlns:r="http://schemas.openxmlformats.org/officeDocument/2006/relationships" r:id="rId10"/>
            <a:extLst>
              <a:ext uri="{FF2B5EF4-FFF2-40B4-BE49-F238E27FC236}">
                <a16:creationId xmlns:a16="http://schemas.microsoft.com/office/drawing/2014/main" id="{5AE7F5E9-96FE-4B79-ADA2-C676AB008EF3}"/>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Steuern</a:t>
            </a:r>
          </a:p>
        </xdr:txBody>
      </xdr:sp>
      <xdr:sp macro="" textlink="">
        <xdr:nvSpPr>
          <xdr:cNvPr id="47" name="Rectangle 46">
            <a:hlinkClick xmlns:r="http://schemas.openxmlformats.org/officeDocument/2006/relationships" r:id="rId11"/>
            <a:extLst>
              <a:ext uri="{FF2B5EF4-FFF2-40B4-BE49-F238E27FC236}">
                <a16:creationId xmlns:a16="http://schemas.microsoft.com/office/drawing/2014/main" id="{5CDB11E3-1052-4695-8F71-F12D9A6A154B}"/>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48" name="Rectangle 47">
            <a:extLst>
              <a:ext uri="{FF2B5EF4-FFF2-40B4-BE49-F238E27FC236}">
                <a16:creationId xmlns:a16="http://schemas.microsoft.com/office/drawing/2014/main" id="{A02B23B2-2A00-4771-9881-2F69ED211F2E}"/>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49" name="Rectangle 48">
            <a:extLst>
              <a:ext uri="{FF2B5EF4-FFF2-40B4-BE49-F238E27FC236}">
                <a16:creationId xmlns:a16="http://schemas.microsoft.com/office/drawing/2014/main" id="{1D9C41A9-8823-422E-8B62-E09D63749E7B}"/>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0" name="Rectangle 49">
            <a:extLst>
              <a:ext uri="{FF2B5EF4-FFF2-40B4-BE49-F238E27FC236}">
                <a16:creationId xmlns:a16="http://schemas.microsoft.com/office/drawing/2014/main" id="{4660CD31-4882-4F56-A495-371D801D964F}"/>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1" name="Rectangle 50">
            <a:extLst>
              <a:ext uri="{FF2B5EF4-FFF2-40B4-BE49-F238E27FC236}">
                <a16:creationId xmlns:a16="http://schemas.microsoft.com/office/drawing/2014/main" id="{9D0FBFFD-25EB-4848-B868-D17128CA6A65}"/>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2" name="Rectangle 51">
            <a:extLst>
              <a:ext uri="{FF2B5EF4-FFF2-40B4-BE49-F238E27FC236}">
                <a16:creationId xmlns:a16="http://schemas.microsoft.com/office/drawing/2014/main" id="{A7F065B6-E0B9-49A1-AD18-0471C8B2E0A4}"/>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3" name="Rectangle 52">
            <a:extLst>
              <a:ext uri="{FF2B5EF4-FFF2-40B4-BE49-F238E27FC236}">
                <a16:creationId xmlns:a16="http://schemas.microsoft.com/office/drawing/2014/main" id="{8261D7A6-101A-48AC-95A0-97B16104B326}"/>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4" name="Rectangle 53">
            <a:extLst>
              <a:ext uri="{FF2B5EF4-FFF2-40B4-BE49-F238E27FC236}">
                <a16:creationId xmlns:a16="http://schemas.microsoft.com/office/drawing/2014/main" id="{52E326E6-1056-4DB3-BA44-26E65A27B3DA}"/>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5" name="Rectangle: Rounded Corners 54">
            <a:hlinkClick xmlns:r="http://schemas.openxmlformats.org/officeDocument/2006/relationships" r:id="rId12"/>
            <a:extLst>
              <a:ext uri="{FF2B5EF4-FFF2-40B4-BE49-F238E27FC236}">
                <a16:creationId xmlns:a16="http://schemas.microsoft.com/office/drawing/2014/main" id="{00FCFBD5-FCF4-46FA-99D5-9B1157CED438}"/>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56" name="Rectangle 55">
            <a:extLst>
              <a:ext uri="{FF2B5EF4-FFF2-40B4-BE49-F238E27FC236}">
                <a16:creationId xmlns:a16="http://schemas.microsoft.com/office/drawing/2014/main" id="{E9194A04-FBF7-42ED-9ABF-60C34EF68E45}"/>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7" name="Rectangle: Rounded Corners 56">
            <a:hlinkClick xmlns:r="http://schemas.openxmlformats.org/officeDocument/2006/relationships" r:id="rId13"/>
            <a:extLst>
              <a:ext uri="{FF2B5EF4-FFF2-40B4-BE49-F238E27FC236}">
                <a16:creationId xmlns:a16="http://schemas.microsoft.com/office/drawing/2014/main" id="{81F8B493-DD95-4A86-85B0-CAEC97D74A03}"/>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600075</xdr:colOff>
      <xdr:row>3</xdr:row>
      <xdr:rowOff>142875</xdr:rowOff>
    </xdr:from>
    <xdr:to>
      <xdr:col>17</xdr:col>
      <xdr:colOff>237557</xdr:colOff>
      <xdr:row>5</xdr:row>
      <xdr:rowOff>246460</xdr:rowOff>
    </xdr:to>
    <xdr:grpSp>
      <xdr:nvGrpSpPr>
        <xdr:cNvPr id="58" name="Group 57">
          <a:extLst>
            <a:ext uri="{FF2B5EF4-FFF2-40B4-BE49-F238E27FC236}">
              <a16:creationId xmlns:a16="http://schemas.microsoft.com/office/drawing/2014/main" id="{AA452580-60E7-45C8-9D46-CB5B37E0AA7F}"/>
            </a:ext>
          </a:extLst>
        </xdr:cNvPr>
        <xdr:cNvGrpSpPr/>
      </xdr:nvGrpSpPr>
      <xdr:grpSpPr>
        <a:xfrm>
          <a:off x="5311775" y="638175"/>
          <a:ext cx="8971982" cy="560785"/>
          <a:chOff x="4705350" y="652463"/>
          <a:chExt cx="7771832" cy="579835"/>
        </a:xfrm>
      </xdr:grpSpPr>
      <xdr:grpSp>
        <xdr:nvGrpSpPr>
          <xdr:cNvPr id="59" name="Group 58">
            <a:extLst>
              <a:ext uri="{FF2B5EF4-FFF2-40B4-BE49-F238E27FC236}">
                <a16:creationId xmlns:a16="http://schemas.microsoft.com/office/drawing/2014/main" id="{A1EC3350-DB96-4057-B42F-DE586F5D52E9}"/>
              </a:ext>
            </a:extLst>
          </xdr:cNvPr>
          <xdr:cNvGrpSpPr/>
        </xdr:nvGrpSpPr>
        <xdr:grpSpPr>
          <a:xfrm>
            <a:off x="4705350" y="652463"/>
            <a:ext cx="7771832" cy="257175"/>
            <a:chOff x="4705350" y="642938"/>
            <a:chExt cx="7771832" cy="257175"/>
          </a:xfrm>
        </xdr:grpSpPr>
        <xdr:sp macro="" textlink="">
          <xdr:nvSpPr>
            <xdr:cNvPr id="67" name="Rectangle 66">
              <a:extLst>
                <a:ext uri="{FF2B5EF4-FFF2-40B4-BE49-F238E27FC236}">
                  <a16:creationId xmlns:a16="http://schemas.microsoft.com/office/drawing/2014/main" id="{321CA0E8-D8D4-4897-8A5C-93DE42418322}"/>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68" name="Rectangle 67">
              <a:extLst>
                <a:ext uri="{FF2B5EF4-FFF2-40B4-BE49-F238E27FC236}">
                  <a16:creationId xmlns:a16="http://schemas.microsoft.com/office/drawing/2014/main" id="{EB501168-9C41-40F1-89F2-9AD431A9D41B}"/>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69" name="Rectangle 68">
              <a:extLst>
                <a:ext uri="{FF2B5EF4-FFF2-40B4-BE49-F238E27FC236}">
                  <a16:creationId xmlns:a16="http://schemas.microsoft.com/office/drawing/2014/main" id="{917D7105-319E-44DE-8910-EE6CC2829CA8}"/>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70" name="Rectangle 69">
              <a:extLst>
                <a:ext uri="{FF2B5EF4-FFF2-40B4-BE49-F238E27FC236}">
                  <a16:creationId xmlns:a16="http://schemas.microsoft.com/office/drawing/2014/main" id="{B73233F4-1977-4DDB-8281-7C00477441F1}"/>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8B123E7D-0A24-4476-AF86-378BBE2F1CD3}"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71" name="Rectangle 70">
              <a:extLst>
                <a:ext uri="{FF2B5EF4-FFF2-40B4-BE49-F238E27FC236}">
                  <a16:creationId xmlns:a16="http://schemas.microsoft.com/office/drawing/2014/main" id="{C44E73F6-C658-4171-9C2B-6C2414F3A7EC}"/>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EEAE24C2-C1BA-4166-BD78-3C1BD479D0FD}"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72" name="Rectangle 71">
              <a:extLst>
                <a:ext uri="{FF2B5EF4-FFF2-40B4-BE49-F238E27FC236}">
                  <a16:creationId xmlns:a16="http://schemas.microsoft.com/office/drawing/2014/main" id="{F0BFB2D9-829A-4E26-A596-41BF8401785E}"/>
                </a:ext>
              </a:extLst>
            </xdr:cNvPr>
            <xdr:cNvSpPr/>
          </xdr:nvSpPr>
          <xdr:spPr>
            <a:xfrm>
              <a:off x="11277600" y="642938"/>
              <a:ext cx="11995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462822E2-243C-4576-A90A-81D050FEDD51}"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60" name="Group 59">
            <a:extLst>
              <a:ext uri="{FF2B5EF4-FFF2-40B4-BE49-F238E27FC236}">
                <a16:creationId xmlns:a16="http://schemas.microsoft.com/office/drawing/2014/main" id="{5FD13DD1-FDAB-4B3E-9EC3-640A507854EE}"/>
              </a:ext>
            </a:extLst>
          </xdr:cNvPr>
          <xdr:cNvGrpSpPr/>
        </xdr:nvGrpSpPr>
        <xdr:grpSpPr>
          <a:xfrm>
            <a:off x="4705350" y="975123"/>
            <a:ext cx="7771832" cy="257175"/>
            <a:chOff x="4705350" y="975123"/>
            <a:chExt cx="7771832" cy="257175"/>
          </a:xfrm>
        </xdr:grpSpPr>
        <xdr:sp macro="" textlink="">
          <xdr:nvSpPr>
            <xdr:cNvPr id="61" name="Rectangle 60">
              <a:extLst>
                <a:ext uri="{FF2B5EF4-FFF2-40B4-BE49-F238E27FC236}">
                  <a16:creationId xmlns:a16="http://schemas.microsoft.com/office/drawing/2014/main" id="{C1EC8DEB-D72F-4EE2-A60A-7547E4C71578}"/>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62" name="Rectangle 61">
              <a:extLst>
                <a:ext uri="{FF2B5EF4-FFF2-40B4-BE49-F238E27FC236}">
                  <a16:creationId xmlns:a16="http://schemas.microsoft.com/office/drawing/2014/main" id="{5097ADE7-4230-487D-88D2-E54D1F352C8A}"/>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63" name="Rectangle 62">
              <a:extLst>
                <a:ext uri="{FF2B5EF4-FFF2-40B4-BE49-F238E27FC236}">
                  <a16:creationId xmlns:a16="http://schemas.microsoft.com/office/drawing/2014/main" id="{D80D2B7D-9560-41D3-B5A2-70310614A714}"/>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64" name="Rectangle 63">
              <a:extLst>
                <a:ext uri="{FF2B5EF4-FFF2-40B4-BE49-F238E27FC236}">
                  <a16:creationId xmlns:a16="http://schemas.microsoft.com/office/drawing/2014/main" id="{8629638B-1051-48B1-8494-1CC6375FA1AA}"/>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94E84D8D-480D-440D-BBE2-EEA228AFB223}"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65" name="Rectangle 64">
              <a:extLst>
                <a:ext uri="{FF2B5EF4-FFF2-40B4-BE49-F238E27FC236}">
                  <a16:creationId xmlns:a16="http://schemas.microsoft.com/office/drawing/2014/main" id="{EDC3DD66-D6C6-47A2-A020-E8B68BA3415F}"/>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FE9D3175-4037-4CC0-A850-9A2BA70BE39E}"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66" name="Rectangle 65">
              <a:extLst>
                <a:ext uri="{FF2B5EF4-FFF2-40B4-BE49-F238E27FC236}">
                  <a16:creationId xmlns:a16="http://schemas.microsoft.com/office/drawing/2014/main" id="{CD150D2A-DE4A-4CCA-B74B-6344F6FAFDAD}"/>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877993F9-13C3-4885-AE69-9B26C8C92012}"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twoCellAnchor>
    <xdr:from>
      <xdr:col>7</xdr:col>
      <xdr:colOff>28575</xdr:colOff>
      <xdr:row>15</xdr:row>
      <xdr:rowOff>285750</xdr:rowOff>
    </xdr:from>
    <xdr:to>
      <xdr:col>17</xdr:col>
      <xdr:colOff>209550</xdr:colOff>
      <xdr:row>18</xdr:row>
      <xdr:rowOff>47626</xdr:rowOff>
    </xdr:to>
    <xdr:sp macro="" textlink="">
      <xdr:nvSpPr>
        <xdr:cNvPr id="74" name="Rectangle: Rounded Corners 73">
          <a:hlinkClick xmlns:r="http://schemas.openxmlformats.org/officeDocument/2006/relationships" r:id="rId14"/>
          <a:extLst>
            <a:ext uri="{FF2B5EF4-FFF2-40B4-BE49-F238E27FC236}">
              <a16:creationId xmlns:a16="http://schemas.microsoft.com/office/drawing/2014/main" id="{2A4A8212-8BB7-44EC-BE4B-ED089C0DD6CB}"/>
            </a:ext>
          </a:extLst>
        </xdr:cNvPr>
        <xdr:cNvSpPr/>
      </xdr:nvSpPr>
      <xdr:spPr>
        <a:xfrm>
          <a:off x="4752975" y="5114925"/>
          <a:ext cx="7705725" cy="628651"/>
        </a:xfrm>
        <a:prstGeom prst="roundRect">
          <a:avLst>
            <a:gd name="adj" fmla="val 8180"/>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pPr>
          <a:r>
            <a:rPr lang="de-DE" sz="1200">
              <a:solidFill>
                <a:schemeClr val="tx2"/>
              </a:solidFill>
              <a:latin typeface="Century Gothic" panose="020B0502020202020204" pitchFamily="34" charset="0"/>
            </a:rPr>
            <a:t>Eine ausführliche Erklärung zu unseren Annahmen und Empfehlungen sowie eine vollständige Gebrauchsanleitung</a:t>
          </a:r>
          <a:r>
            <a:rPr lang="de-DE" sz="1200" baseline="0">
              <a:solidFill>
                <a:schemeClr val="tx2"/>
              </a:solidFill>
              <a:latin typeface="Century Gothic" panose="020B0502020202020204" pitchFamily="34" charset="0"/>
            </a:rPr>
            <a:t> für den Wohnungskauf </a:t>
          </a:r>
          <a:r>
            <a:rPr lang="de-DE" sz="1200" u="sng" baseline="0">
              <a:solidFill>
                <a:schemeClr val="tx2"/>
              </a:solidFill>
              <a:latin typeface="Century Gothic" panose="020B0502020202020204" pitchFamily="34" charset="0"/>
            </a:rPr>
            <a:t>findest du hier (immocation Buch).</a:t>
          </a: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609599</xdr:colOff>
          <xdr:row>4</xdr:row>
          <xdr:rowOff>228600</xdr:rowOff>
        </xdr:from>
        <xdr:to>
          <xdr:col>10</xdr:col>
          <xdr:colOff>171449</xdr:colOff>
          <xdr:row>5</xdr:row>
          <xdr:rowOff>285750</xdr:rowOff>
        </xdr:to>
        <xdr:pic>
          <xdr:nvPicPr>
            <xdr:cNvPr id="75" name="Picture 74">
              <a:extLst>
                <a:ext uri="{FF2B5EF4-FFF2-40B4-BE49-F238E27FC236}">
                  <a16:creationId xmlns:a16="http://schemas.microsoft.com/office/drawing/2014/main" id="{C2D03C7F-4AC9-41E8-87E9-6D08EB3C7EAF}"/>
                </a:ext>
              </a:extLst>
            </xdr:cNvPr>
            <xdr:cNvPicPr>
              <a:picLocks noChangeAspect="1" noChangeArrowheads="1"/>
              <a:extLst>
                <a:ext uri="{84589F7E-364E-4C9E-8A38-B11213B215E9}">
                  <a14:cameraTool cellRange="cnfg_rf!$G$40" spid="_x0000_s10270"/>
                </a:ext>
              </a:extLst>
            </xdr:cNvPicPr>
          </xdr:nvPicPr>
          <xdr:blipFill>
            <a:blip xmlns:r="http://schemas.openxmlformats.org/officeDocument/2006/relationships" r:embed="rId1"/>
            <a:srcRect/>
            <a:stretch>
              <a:fillRect/>
            </a:stretch>
          </xdr:blipFill>
          <xdr:spPr bwMode="auto">
            <a:xfrm>
              <a:off x="4724399" y="981075"/>
              <a:ext cx="2428875" cy="2952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03447A0A-B71E-4081-9BFF-8177E76923C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803EA9CC-C7CE-4F92-8351-E0EACE5B1E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685800</xdr:colOff>
      <xdr:row>14</xdr:row>
      <xdr:rowOff>76200</xdr:rowOff>
    </xdr:from>
    <xdr:to>
      <xdr:col>6</xdr:col>
      <xdr:colOff>209550</xdr:colOff>
      <xdr:row>16</xdr:row>
      <xdr:rowOff>19050</xdr:rowOff>
    </xdr:to>
    <xdr:sp macro="" textlink="">
      <xdr:nvSpPr>
        <xdr:cNvPr id="13" name="Arrow: Right 12">
          <a:hlinkClick xmlns:r="http://schemas.openxmlformats.org/officeDocument/2006/relationships" r:id="rId4"/>
          <a:extLst>
            <a:ext uri="{FF2B5EF4-FFF2-40B4-BE49-F238E27FC236}">
              <a16:creationId xmlns:a16="http://schemas.microsoft.com/office/drawing/2014/main" id="{E4B73CFB-7059-4A3D-9CA8-EB9D9A8CCE5F}"/>
            </a:ext>
          </a:extLst>
        </xdr:cNvPr>
        <xdr:cNvSpPr/>
      </xdr:nvSpPr>
      <xdr:spPr>
        <a:xfrm>
          <a:off x="2628900" y="429577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1</xdr:col>
      <xdr:colOff>342900</xdr:colOff>
      <xdr:row>14</xdr:row>
      <xdr:rowOff>76200</xdr:rowOff>
    </xdr:from>
    <xdr:to>
      <xdr:col>3</xdr:col>
      <xdr:colOff>314325</xdr:colOff>
      <xdr:row>16</xdr:row>
      <xdr:rowOff>19050</xdr:rowOff>
    </xdr:to>
    <xdr:sp macro="" textlink="">
      <xdr:nvSpPr>
        <xdr:cNvPr id="37" name="Arrow: Right 36">
          <a:hlinkClick xmlns:r="http://schemas.openxmlformats.org/officeDocument/2006/relationships" r:id="rId5"/>
          <a:extLst>
            <a:ext uri="{FF2B5EF4-FFF2-40B4-BE49-F238E27FC236}">
              <a16:creationId xmlns:a16="http://schemas.microsoft.com/office/drawing/2014/main" id="{3621205E-60EA-4614-9889-B2184F54E6F9}"/>
            </a:ext>
          </a:extLst>
        </xdr:cNvPr>
        <xdr:cNvSpPr/>
      </xdr:nvSpPr>
      <xdr:spPr>
        <a:xfrm flipH="1">
          <a:off x="561975" y="429577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4</xdr:col>
      <xdr:colOff>76200</xdr:colOff>
      <xdr:row>0</xdr:row>
      <xdr:rowOff>133350</xdr:rowOff>
    </xdr:from>
    <xdr:to>
      <xdr:col>17</xdr:col>
      <xdr:colOff>257175</xdr:colOff>
      <xdr:row>2</xdr:row>
      <xdr:rowOff>29325</xdr:rowOff>
    </xdr:to>
    <xdr:grpSp>
      <xdr:nvGrpSpPr>
        <xdr:cNvPr id="42" name="Group 41">
          <a:extLst>
            <a:ext uri="{FF2B5EF4-FFF2-40B4-BE49-F238E27FC236}">
              <a16:creationId xmlns:a16="http://schemas.microsoft.com/office/drawing/2014/main" id="{19AB69AE-85B8-45F6-9F82-95A200FE305C}"/>
            </a:ext>
          </a:extLst>
        </xdr:cNvPr>
        <xdr:cNvGrpSpPr/>
      </xdr:nvGrpSpPr>
      <xdr:grpSpPr>
        <a:xfrm>
          <a:off x="3365500" y="133350"/>
          <a:ext cx="10937875" cy="238875"/>
          <a:chOff x="2952750" y="137737"/>
          <a:chExt cx="9563100" cy="248400"/>
        </a:xfrm>
      </xdr:grpSpPr>
      <xdr:sp macro="" textlink="">
        <xdr:nvSpPr>
          <xdr:cNvPr id="43" name="Rectangle 42">
            <a:hlinkClick xmlns:r="http://schemas.openxmlformats.org/officeDocument/2006/relationships" r:id="rId6"/>
            <a:extLst>
              <a:ext uri="{FF2B5EF4-FFF2-40B4-BE49-F238E27FC236}">
                <a16:creationId xmlns:a16="http://schemas.microsoft.com/office/drawing/2014/main" id="{6570466C-20AF-4C27-9E84-EB9F8C468D52}"/>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44" name="Rectangle 43">
            <a:hlinkClick xmlns:r="http://schemas.openxmlformats.org/officeDocument/2006/relationships" r:id="rId7"/>
            <a:extLst>
              <a:ext uri="{FF2B5EF4-FFF2-40B4-BE49-F238E27FC236}">
                <a16:creationId xmlns:a16="http://schemas.microsoft.com/office/drawing/2014/main" id="{A781BBB6-BBE1-4CBD-AACA-F8CDEB8B11E5}"/>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45" name="Rectangle 44">
            <a:hlinkClick xmlns:r="http://schemas.openxmlformats.org/officeDocument/2006/relationships" r:id="rId8"/>
            <a:extLst>
              <a:ext uri="{FF2B5EF4-FFF2-40B4-BE49-F238E27FC236}">
                <a16:creationId xmlns:a16="http://schemas.microsoft.com/office/drawing/2014/main" id="{89794E43-A5FA-4265-AE3F-8DCF642C2139}"/>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Finanzierung</a:t>
            </a:r>
          </a:p>
        </xdr:txBody>
      </xdr:sp>
      <xdr:sp macro="" textlink="">
        <xdr:nvSpPr>
          <xdr:cNvPr id="46" name="Rectangle 45">
            <a:hlinkClick xmlns:r="http://schemas.openxmlformats.org/officeDocument/2006/relationships" r:id="rId5"/>
            <a:extLst>
              <a:ext uri="{FF2B5EF4-FFF2-40B4-BE49-F238E27FC236}">
                <a16:creationId xmlns:a16="http://schemas.microsoft.com/office/drawing/2014/main" id="{C354C9AF-3D59-45BA-8E82-800BF64F9453}"/>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Hausgeld &amp;</a:t>
            </a:r>
            <a:r>
              <a:rPr lang="de-DE" sz="1050" u="none" baseline="0">
                <a:solidFill>
                  <a:schemeClr val="bg1"/>
                </a:solidFill>
                <a:latin typeface="+mn-lt"/>
              </a:rPr>
              <a:t> Rücklagen</a:t>
            </a:r>
            <a:endParaRPr lang="de-DE" sz="1050" u="none">
              <a:solidFill>
                <a:schemeClr val="bg1"/>
              </a:solidFill>
              <a:latin typeface="+mn-lt"/>
            </a:endParaRPr>
          </a:p>
        </xdr:txBody>
      </xdr:sp>
      <xdr:sp macro="" textlink="">
        <xdr:nvSpPr>
          <xdr:cNvPr id="47" name="Rectangle 46">
            <a:hlinkClick xmlns:r="http://schemas.openxmlformats.org/officeDocument/2006/relationships" r:id="rId4"/>
            <a:extLst>
              <a:ext uri="{FF2B5EF4-FFF2-40B4-BE49-F238E27FC236}">
                <a16:creationId xmlns:a16="http://schemas.microsoft.com/office/drawing/2014/main" id="{A7DB2243-3970-4E1D-A21A-9710C29F4C50}"/>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rPr>
              <a:t>Zinsrisiko</a:t>
            </a:r>
          </a:p>
        </xdr:txBody>
      </xdr:sp>
      <xdr:sp macro="" textlink="">
        <xdr:nvSpPr>
          <xdr:cNvPr id="48" name="Rectangle 47">
            <a:hlinkClick xmlns:r="http://schemas.openxmlformats.org/officeDocument/2006/relationships" r:id="rId9"/>
            <a:extLst>
              <a:ext uri="{FF2B5EF4-FFF2-40B4-BE49-F238E27FC236}">
                <a16:creationId xmlns:a16="http://schemas.microsoft.com/office/drawing/2014/main" id="{13F0718F-D3A9-4DF4-AF1F-5FC3A14E8A30}"/>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Steuern</a:t>
            </a:r>
          </a:p>
        </xdr:txBody>
      </xdr:sp>
      <xdr:sp macro="" textlink="">
        <xdr:nvSpPr>
          <xdr:cNvPr id="49" name="Rectangle 48">
            <a:hlinkClick xmlns:r="http://schemas.openxmlformats.org/officeDocument/2006/relationships" r:id="rId10"/>
            <a:extLst>
              <a:ext uri="{FF2B5EF4-FFF2-40B4-BE49-F238E27FC236}">
                <a16:creationId xmlns:a16="http://schemas.microsoft.com/office/drawing/2014/main" id="{FA7A97A1-6C33-47A3-A4AB-C5FD6ACE2DB4}"/>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50" name="Rectangle 49">
            <a:extLst>
              <a:ext uri="{FF2B5EF4-FFF2-40B4-BE49-F238E27FC236}">
                <a16:creationId xmlns:a16="http://schemas.microsoft.com/office/drawing/2014/main" id="{6DCF7C8B-ED21-4A3D-8F47-71C42F4DA2CB}"/>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1" name="Rectangle 50">
            <a:extLst>
              <a:ext uri="{FF2B5EF4-FFF2-40B4-BE49-F238E27FC236}">
                <a16:creationId xmlns:a16="http://schemas.microsoft.com/office/drawing/2014/main" id="{9BED86B8-683A-4835-A474-F533090F5023}"/>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2" name="Rectangle 51">
            <a:extLst>
              <a:ext uri="{FF2B5EF4-FFF2-40B4-BE49-F238E27FC236}">
                <a16:creationId xmlns:a16="http://schemas.microsoft.com/office/drawing/2014/main" id="{7A8D8AE3-A071-402A-9682-877D79A122EC}"/>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3" name="Rectangle 52">
            <a:extLst>
              <a:ext uri="{FF2B5EF4-FFF2-40B4-BE49-F238E27FC236}">
                <a16:creationId xmlns:a16="http://schemas.microsoft.com/office/drawing/2014/main" id="{E70BAD04-1BDB-4895-ACF5-828385325A2C}"/>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4" name="Rectangle 53">
            <a:extLst>
              <a:ext uri="{FF2B5EF4-FFF2-40B4-BE49-F238E27FC236}">
                <a16:creationId xmlns:a16="http://schemas.microsoft.com/office/drawing/2014/main" id="{8B400594-6CD3-4D6F-9BF8-8882B1A017C3}"/>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5" name="Rectangle 54">
            <a:extLst>
              <a:ext uri="{FF2B5EF4-FFF2-40B4-BE49-F238E27FC236}">
                <a16:creationId xmlns:a16="http://schemas.microsoft.com/office/drawing/2014/main" id="{28414CD5-2010-4BF9-9E1A-DDC05CE82D98}"/>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6" name="Rectangle 55">
            <a:extLst>
              <a:ext uri="{FF2B5EF4-FFF2-40B4-BE49-F238E27FC236}">
                <a16:creationId xmlns:a16="http://schemas.microsoft.com/office/drawing/2014/main" id="{E1FFFEAE-9B7F-414F-9759-567327C8BFB2}"/>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7" name="Rectangle: Rounded Corners 56">
            <a:hlinkClick xmlns:r="http://schemas.openxmlformats.org/officeDocument/2006/relationships" r:id="rId11"/>
            <a:extLst>
              <a:ext uri="{FF2B5EF4-FFF2-40B4-BE49-F238E27FC236}">
                <a16:creationId xmlns:a16="http://schemas.microsoft.com/office/drawing/2014/main" id="{8D586BA0-6B58-430C-AAB9-A0918BA7A7B3}"/>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58" name="Rectangle 57">
            <a:extLst>
              <a:ext uri="{FF2B5EF4-FFF2-40B4-BE49-F238E27FC236}">
                <a16:creationId xmlns:a16="http://schemas.microsoft.com/office/drawing/2014/main" id="{F20C5FCF-1AEB-40B8-BEEB-0404B29B1C38}"/>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9" name="Rectangle: Rounded Corners 58">
            <a:hlinkClick xmlns:r="http://schemas.openxmlformats.org/officeDocument/2006/relationships" r:id="rId12"/>
            <a:extLst>
              <a:ext uri="{FF2B5EF4-FFF2-40B4-BE49-F238E27FC236}">
                <a16:creationId xmlns:a16="http://schemas.microsoft.com/office/drawing/2014/main" id="{6AED799A-0DF8-4FCB-8A0A-7B3B9F9F1CCC}"/>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600075</xdr:colOff>
      <xdr:row>3</xdr:row>
      <xdr:rowOff>142875</xdr:rowOff>
    </xdr:from>
    <xdr:to>
      <xdr:col>17</xdr:col>
      <xdr:colOff>237557</xdr:colOff>
      <xdr:row>5</xdr:row>
      <xdr:rowOff>246460</xdr:rowOff>
    </xdr:to>
    <xdr:grpSp>
      <xdr:nvGrpSpPr>
        <xdr:cNvPr id="60" name="Group 59">
          <a:extLst>
            <a:ext uri="{FF2B5EF4-FFF2-40B4-BE49-F238E27FC236}">
              <a16:creationId xmlns:a16="http://schemas.microsoft.com/office/drawing/2014/main" id="{3293B1C5-D1FF-4F45-A792-5C81CC7D2EAA}"/>
            </a:ext>
          </a:extLst>
        </xdr:cNvPr>
        <xdr:cNvGrpSpPr/>
      </xdr:nvGrpSpPr>
      <xdr:grpSpPr>
        <a:xfrm>
          <a:off x="5311775" y="638175"/>
          <a:ext cx="8971982" cy="560785"/>
          <a:chOff x="4705350" y="652463"/>
          <a:chExt cx="7771832" cy="579835"/>
        </a:xfrm>
      </xdr:grpSpPr>
      <xdr:grpSp>
        <xdr:nvGrpSpPr>
          <xdr:cNvPr id="61" name="Group 60">
            <a:extLst>
              <a:ext uri="{FF2B5EF4-FFF2-40B4-BE49-F238E27FC236}">
                <a16:creationId xmlns:a16="http://schemas.microsoft.com/office/drawing/2014/main" id="{5600FD02-D70A-46A7-9538-B3C49349E7C1}"/>
              </a:ext>
            </a:extLst>
          </xdr:cNvPr>
          <xdr:cNvGrpSpPr/>
        </xdr:nvGrpSpPr>
        <xdr:grpSpPr>
          <a:xfrm>
            <a:off x="4705350" y="652463"/>
            <a:ext cx="7771832" cy="257175"/>
            <a:chOff x="4705350" y="642938"/>
            <a:chExt cx="7771832" cy="257175"/>
          </a:xfrm>
        </xdr:grpSpPr>
        <xdr:sp macro="" textlink="">
          <xdr:nvSpPr>
            <xdr:cNvPr id="69" name="Rectangle 68">
              <a:extLst>
                <a:ext uri="{FF2B5EF4-FFF2-40B4-BE49-F238E27FC236}">
                  <a16:creationId xmlns:a16="http://schemas.microsoft.com/office/drawing/2014/main" id="{682F9350-9C9F-4025-A4DC-7CB8D8E5257B}"/>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70" name="Rectangle 69">
              <a:extLst>
                <a:ext uri="{FF2B5EF4-FFF2-40B4-BE49-F238E27FC236}">
                  <a16:creationId xmlns:a16="http://schemas.microsoft.com/office/drawing/2014/main" id="{1255FAAE-A45C-41F0-89EC-0164EAB1446D}"/>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71" name="Rectangle 70">
              <a:extLst>
                <a:ext uri="{FF2B5EF4-FFF2-40B4-BE49-F238E27FC236}">
                  <a16:creationId xmlns:a16="http://schemas.microsoft.com/office/drawing/2014/main" id="{5CFF6700-DE39-4D03-B7E6-BD8289FF188F}"/>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72" name="Rectangle 71">
              <a:extLst>
                <a:ext uri="{FF2B5EF4-FFF2-40B4-BE49-F238E27FC236}">
                  <a16:creationId xmlns:a16="http://schemas.microsoft.com/office/drawing/2014/main" id="{D30690C1-2BB9-401A-9B0C-F6A65A37E059}"/>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7240A744-5088-4704-9C1E-D5360332E7C9}"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73" name="Rectangle 72">
              <a:extLst>
                <a:ext uri="{FF2B5EF4-FFF2-40B4-BE49-F238E27FC236}">
                  <a16:creationId xmlns:a16="http://schemas.microsoft.com/office/drawing/2014/main" id="{4E8DC821-561E-462E-85BC-74033B9C46D1}"/>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401AC43E-AC63-4ADC-973B-2F2BEDE17288}"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74" name="Rectangle 73">
              <a:extLst>
                <a:ext uri="{FF2B5EF4-FFF2-40B4-BE49-F238E27FC236}">
                  <a16:creationId xmlns:a16="http://schemas.microsoft.com/office/drawing/2014/main" id="{CA0B93A6-6512-4D51-9633-D7EF4CCDA737}"/>
                </a:ext>
              </a:extLst>
            </xdr:cNvPr>
            <xdr:cNvSpPr/>
          </xdr:nvSpPr>
          <xdr:spPr>
            <a:xfrm>
              <a:off x="11277600" y="642938"/>
              <a:ext cx="11995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B3ED0A8F-DCA1-41E6-8684-20DEAA13102B}"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62" name="Group 61">
            <a:extLst>
              <a:ext uri="{FF2B5EF4-FFF2-40B4-BE49-F238E27FC236}">
                <a16:creationId xmlns:a16="http://schemas.microsoft.com/office/drawing/2014/main" id="{F5974406-3736-4427-96DA-A5998D73716B}"/>
              </a:ext>
            </a:extLst>
          </xdr:cNvPr>
          <xdr:cNvGrpSpPr/>
        </xdr:nvGrpSpPr>
        <xdr:grpSpPr>
          <a:xfrm>
            <a:off x="4705350" y="975123"/>
            <a:ext cx="7771832" cy="257175"/>
            <a:chOff x="4705350" y="975123"/>
            <a:chExt cx="7771832" cy="257175"/>
          </a:xfrm>
        </xdr:grpSpPr>
        <xdr:sp macro="" textlink="">
          <xdr:nvSpPr>
            <xdr:cNvPr id="63" name="Rectangle 62">
              <a:extLst>
                <a:ext uri="{FF2B5EF4-FFF2-40B4-BE49-F238E27FC236}">
                  <a16:creationId xmlns:a16="http://schemas.microsoft.com/office/drawing/2014/main" id="{BA97E9DC-C84C-4D26-B7C1-E815867E5DC6}"/>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64" name="Rectangle 63">
              <a:extLst>
                <a:ext uri="{FF2B5EF4-FFF2-40B4-BE49-F238E27FC236}">
                  <a16:creationId xmlns:a16="http://schemas.microsoft.com/office/drawing/2014/main" id="{DDBF0C61-A5E8-4E3C-8E62-0558198AC6C5}"/>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65" name="Rectangle 64">
              <a:extLst>
                <a:ext uri="{FF2B5EF4-FFF2-40B4-BE49-F238E27FC236}">
                  <a16:creationId xmlns:a16="http://schemas.microsoft.com/office/drawing/2014/main" id="{D8118E17-6143-4A55-9F03-D95DD60E1337}"/>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66" name="Rectangle 65">
              <a:extLst>
                <a:ext uri="{FF2B5EF4-FFF2-40B4-BE49-F238E27FC236}">
                  <a16:creationId xmlns:a16="http://schemas.microsoft.com/office/drawing/2014/main" id="{E409EADF-2590-421F-95F0-0E899CA48653}"/>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535A3804-97E5-48DD-A653-DD5583FD40D0}"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67" name="Rectangle 66">
              <a:extLst>
                <a:ext uri="{FF2B5EF4-FFF2-40B4-BE49-F238E27FC236}">
                  <a16:creationId xmlns:a16="http://schemas.microsoft.com/office/drawing/2014/main" id="{B0F4602E-3AB7-44DB-9F63-89F432E69A51}"/>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092A1F4D-FEF4-415E-9235-936D114FB481}"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68" name="Rectangle 67">
              <a:extLst>
                <a:ext uri="{FF2B5EF4-FFF2-40B4-BE49-F238E27FC236}">
                  <a16:creationId xmlns:a16="http://schemas.microsoft.com/office/drawing/2014/main" id="{2063C12F-BA47-47EE-BF65-257CD279D14E}"/>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19A42B0E-BD63-4668-A30C-8DFE165278F4}"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twoCellAnchor>
    <xdr:from>
      <xdr:col>5</xdr:col>
      <xdr:colOff>76200</xdr:colOff>
      <xdr:row>7</xdr:row>
      <xdr:rowOff>28571</xdr:rowOff>
    </xdr:from>
    <xdr:to>
      <xdr:col>17</xdr:col>
      <xdr:colOff>257176</xdr:colOff>
      <xdr:row>13</xdr:row>
      <xdr:rowOff>95250</xdr:rowOff>
    </xdr:to>
    <xdr:sp macro="" textlink="">
      <xdr:nvSpPr>
        <xdr:cNvPr id="76" name="Rectangle: Rounded Corners 75">
          <a:extLst>
            <a:ext uri="{FF2B5EF4-FFF2-40B4-BE49-F238E27FC236}">
              <a16:creationId xmlns:a16="http://schemas.microsoft.com/office/drawing/2014/main" id="{1021F1AA-389E-4D49-8BDE-75E44401770B}"/>
            </a:ext>
          </a:extLst>
        </xdr:cNvPr>
        <xdr:cNvSpPr/>
      </xdr:nvSpPr>
      <xdr:spPr>
        <a:xfrm>
          <a:off x="4048125" y="2057396"/>
          <a:ext cx="8458201" cy="1590679"/>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tIns="90000" rIns="180000" bIns="90000" rtlCol="0" anchor="t"/>
        <a:lstStyle/>
        <a:p>
          <a:pPr algn="l">
            <a:lnSpc>
              <a:spcPct val="130000"/>
            </a:lnSpc>
            <a:spcAft>
              <a:spcPts val="1200"/>
            </a:spcAft>
          </a:pPr>
          <a:endParaRPr lang="de-DE" sz="1400" b="0" baseline="0">
            <a:solidFill>
              <a:schemeClr val="tx2"/>
            </a:solidFill>
            <a:latin typeface="Century Gothic" panose="020B0502020202020204" pitchFamily="34" charset="0"/>
          </a:endParaRPr>
        </a:p>
      </xdr:txBody>
    </xdr:sp>
    <xdr:clientData/>
  </xdr:twoCellAnchor>
  <xdr:twoCellAnchor>
    <xdr:from>
      <xdr:col>1</xdr:col>
      <xdr:colOff>314325</xdr:colOff>
      <xdr:row>7</xdr:row>
      <xdr:rowOff>28571</xdr:rowOff>
    </xdr:from>
    <xdr:to>
      <xdr:col>4</xdr:col>
      <xdr:colOff>685801</xdr:colOff>
      <xdr:row>13</xdr:row>
      <xdr:rowOff>104775</xdr:rowOff>
    </xdr:to>
    <xdr:sp macro="" textlink="">
      <xdr:nvSpPr>
        <xdr:cNvPr id="77" name="Rectangle: Rounded Corners 76">
          <a:extLst>
            <a:ext uri="{FF2B5EF4-FFF2-40B4-BE49-F238E27FC236}">
              <a16:creationId xmlns:a16="http://schemas.microsoft.com/office/drawing/2014/main" id="{BC9F57C0-5654-46C0-88B8-BA865C58A4DF}"/>
            </a:ext>
          </a:extLst>
        </xdr:cNvPr>
        <xdr:cNvSpPr/>
      </xdr:nvSpPr>
      <xdr:spPr>
        <a:xfrm>
          <a:off x="533400" y="2057396"/>
          <a:ext cx="3019426" cy="1600204"/>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tIns="90000" rIns="180000" bIns="90000" rtlCol="0" anchor="t"/>
        <a:lstStyle/>
        <a:p>
          <a:pPr algn="ctr">
            <a:lnSpc>
              <a:spcPct val="130000"/>
            </a:lnSpc>
            <a:spcAft>
              <a:spcPts val="1200"/>
            </a:spcAft>
          </a:pPr>
          <a:r>
            <a:rPr lang="de-DE" sz="1800" b="0" baseline="0">
              <a:solidFill>
                <a:schemeClr val="tx2"/>
              </a:solidFill>
              <a:latin typeface="Century Gothic" panose="020B0502020202020204" pitchFamily="34" charset="0"/>
            </a:rPr>
            <a:t>Dein monatlicher Überschuss vor Steuern:</a:t>
          </a:r>
          <a:endParaRPr lang="de-DE" sz="3200" b="0" baseline="0">
            <a:solidFill>
              <a:schemeClr val="tx2"/>
            </a:solidFill>
            <a:latin typeface="Century Gothic" panose="020B0502020202020204" pitchFamily="34" charset="0"/>
          </a:endParaRPr>
        </a:p>
      </xdr:txBody>
    </xdr:sp>
    <xdr:clientData/>
  </xdr:twoCellAnchor>
  <xdr:twoCellAnchor>
    <xdr:from>
      <xdr:col>2</xdr:col>
      <xdr:colOff>781049</xdr:colOff>
      <xdr:row>10</xdr:row>
      <xdr:rowOff>228600</xdr:rowOff>
    </xdr:from>
    <xdr:to>
      <xdr:col>3</xdr:col>
      <xdr:colOff>800099</xdr:colOff>
      <xdr:row>12</xdr:row>
      <xdr:rowOff>266700</xdr:rowOff>
    </xdr:to>
    <xdr:sp macro="" textlink="cnfg_rf!G9">
      <xdr:nvSpPr>
        <xdr:cNvPr id="14" name="Rectangle 13">
          <a:extLst>
            <a:ext uri="{FF2B5EF4-FFF2-40B4-BE49-F238E27FC236}">
              <a16:creationId xmlns:a16="http://schemas.microsoft.com/office/drawing/2014/main" id="{98B91B74-9168-4CE5-B068-15D05E2CEDF0}"/>
            </a:ext>
          </a:extLst>
        </xdr:cNvPr>
        <xdr:cNvSpPr/>
      </xdr:nvSpPr>
      <xdr:spPr>
        <a:xfrm>
          <a:off x="1362074" y="2962275"/>
          <a:ext cx="1381125" cy="533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82538114-EEA2-4953-A73B-33DA2C413E91}" type="TxLink">
            <a:rPr lang="en-US" sz="3600" b="0" i="0" u="none" strike="noStrike">
              <a:solidFill>
                <a:schemeClr val="tx2"/>
              </a:solidFill>
              <a:latin typeface="Century Gothic" panose="020B0502020202020204" pitchFamily="34" charset="0"/>
              <a:cs typeface="Calibri"/>
            </a:rPr>
            <a:pPr algn="ctr"/>
            <a:t>-</a:t>
          </a:fld>
          <a:endParaRPr lang="de-DE" sz="3600">
            <a:solidFill>
              <a:schemeClr val="tx2"/>
            </a:solidFill>
            <a:latin typeface="Century Gothic" panose="020B0502020202020204" pitchFamily="34" charset="0"/>
          </a:endParaRPr>
        </a:p>
      </xdr:txBody>
    </xdr:sp>
    <xdr:clientData/>
  </xdr:twoCellAnchor>
  <xdr:twoCellAnchor>
    <xdr:from>
      <xdr:col>6</xdr:col>
      <xdr:colOff>47625</xdr:colOff>
      <xdr:row>7</xdr:row>
      <xdr:rowOff>171450</xdr:rowOff>
    </xdr:from>
    <xdr:to>
      <xdr:col>17</xdr:col>
      <xdr:colOff>57150</xdr:colOff>
      <xdr:row>9</xdr:row>
      <xdr:rowOff>104775</xdr:rowOff>
    </xdr:to>
    <xdr:sp macro="" textlink="txt_rf!E7">
      <xdr:nvSpPr>
        <xdr:cNvPr id="16" name="Rectangle 15">
          <a:extLst>
            <a:ext uri="{FF2B5EF4-FFF2-40B4-BE49-F238E27FC236}">
              <a16:creationId xmlns:a16="http://schemas.microsoft.com/office/drawing/2014/main" id="{689F1B6F-DAAC-4572-BDC1-7FBC3582A15F}"/>
            </a:ext>
          </a:extLst>
        </xdr:cNvPr>
        <xdr:cNvSpPr/>
      </xdr:nvSpPr>
      <xdr:spPr>
        <a:xfrm>
          <a:off x="4162425" y="2200275"/>
          <a:ext cx="8143875" cy="314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319F197F-72D0-44C6-A01C-9D8C6A3EA217}" type="TxLink">
            <a:rPr lang="en-US" sz="1400" b="1" i="0" u="none" strike="noStrike">
              <a:solidFill>
                <a:schemeClr val="tx2"/>
              </a:solidFill>
              <a:latin typeface="Century Gothic" panose="020B0502020202020204" pitchFamily="34" charset="0"/>
              <a:cs typeface="Calibri"/>
            </a:rPr>
            <a:pPr algn="l"/>
            <a:t> </a:t>
          </a:fld>
          <a:endParaRPr lang="de-DE" sz="1400" b="1">
            <a:solidFill>
              <a:schemeClr val="tx2"/>
            </a:solidFill>
            <a:latin typeface="Century Gothic" panose="020B0502020202020204" pitchFamily="34" charset="0"/>
          </a:endParaRPr>
        </a:p>
      </xdr:txBody>
    </xdr:sp>
    <xdr:clientData/>
  </xdr:twoCellAnchor>
  <xdr:twoCellAnchor>
    <xdr:from>
      <xdr:col>6</xdr:col>
      <xdr:colOff>24333</xdr:colOff>
      <xdr:row>9</xdr:row>
      <xdr:rowOff>171450</xdr:rowOff>
    </xdr:from>
    <xdr:to>
      <xdr:col>17</xdr:col>
      <xdr:colOff>152401</xdr:colOff>
      <xdr:row>11</xdr:row>
      <xdr:rowOff>133350</xdr:rowOff>
    </xdr:to>
    <xdr:sp macro="" textlink="txt_rf!E8">
      <xdr:nvSpPr>
        <xdr:cNvPr id="79" name="Rectangle 78">
          <a:extLst>
            <a:ext uri="{FF2B5EF4-FFF2-40B4-BE49-F238E27FC236}">
              <a16:creationId xmlns:a16="http://schemas.microsoft.com/office/drawing/2014/main" id="{263BBC52-A423-49D7-A5F0-AE167357B130}"/>
            </a:ext>
          </a:extLst>
        </xdr:cNvPr>
        <xdr:cNvSpPr/>
      </xdr:nvSpPr>
      <xdr:spPr>
        <a:xfrm>
          <a:off x="4139133" y="2581275"/>
          <a:ext cx="8262418" cy="5905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292C0CB1-DF66-4808-A1B2-974BE7F5183F}" type="TxLink">
            <a:rPr lang="en-US" sz="1400" b="0" i="0" u="none" strike="noStrike">
              <a:solidFill>
                <a:schemeClr val="tx2"/>
              </a:solidFill>
              <a:latin typeface="Century Gothic" panose="020B0502020202020204" pitchFamily="34" charset="0"/>
              <a:cs typeface="Calibri"/>
            </a:rPr>
            <a:pPr algn="l"/>
            <a:t>Bitte fülle alle erforderlichen Eingabefelder, um den Cashflow vor Steuern zu berechnen.</a:t>
          </a:fld>
          <a:endParaRPr lang="de-DE" sz="1800" b="1">
            <a:solidFill>
              <a:schemeClr val="tx2"/>
            </a:solidFill>
            <a:latin typeface="Century Gothic" panose="020B0502020202020204" pitchFamily="34" charset="0"/>
          </a:endParaRPr>
        </a:p>
      </xdr:txBody>
    </xdr:sp>
    <xdr:clientData/>
  </xdr:twoCellAnchor>
  <xdr:twoCellAnchor>
    <xdr:from>
      <xdr:col>6</xdr:col>
      <xdr:colOff>19675</xdr:colOff>
      <xdr:row>10</xdr:row>
      <xdr:rowOff>238125</xdr:rowOff>
    </xdr:from>
    <xdr:to>
      <xdr:col>17</xdr:col>
      <xdr:colOff>171451</xdr:colOff>
      <xdr:row>13</xdr:row>
      <xdr:rowOff>200025</xdr:rowOff>
    </xdr:to>
    <xdr:sp macro="" textlink="txt_rf!E10">
      <xdr:nvSpPr>
        <xdr:cNvPr id="80" name="Rectangle 79">
          <a:extLst>
            <a:ext uri="{FF2B5EF4-FFF2-40B4-BE49-F238E27FC236}">
              <a16:creationId xmlns:a16="http://schemas.microsoft.com/office/drawing/2014/main" id="{061423D7-ECEA-4F7A-952A-CC3C02485562}"/>
            </a:ext>
          </a:extLst>
        </xdr:cNvPr>
        <xdr:cNvSpPr/>
      </xdr:nvSpPr>
      <xdr:spPr>
        <a:xfrm>
          <a:off x="4134475" y="2971800"/>
          <a:ext cx="8286126" cy="7810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4EA0CA53-7A58-4162-BE3F-A57E2F8B9FC6}" type="TxLink">
            <a:rPr lang="en-US" sz="1400" b="0" i="0" u="none" strike="noStrike">
              <a:solidFill>
                <a:schemeClr val="tx2"/>
              </a:solidFill>
              <a:latin typeface="Century Gothic" panose="020B0502020202020204" pitchFamily="34" charset="0"/>
              <a:cs typeface="Calibri"/>
            </a:rPr>
            <a:pPr algn="l"/>
            <a:t> </a:t>
          </a:fld>
          <a:endParaRPr lang="de-DE" sz="1800" b="1">
            <a:solidFill>
              <a:schemeClr val="tx2"/>
            </a:solidFill>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485775</xdr:colOff>
          <xdr:row>4</xdr:row>
          <xdr:rowOff>228600</xdr:rowOff>
        </xdr:from>
        <xdr:to>
          <xdr:col>14</xdr:col>
          <xdr:colOff>76200</xdr:colOff>
          <xdr:row>5</xdr:row>
          <xdr:rowOff>276225</xdr:rowOff>
        </xdr:to>
        <xdr:pic>
          <xdr:nvPicPr>
            <xdr:cNvPr id="83" name="Picture 82">
              <a:extLst>
                <a:ext uri="{FF2B5EF4-FFF2-40B4-BE49-F238E27FC236}">
                  <a16:creationId xmlns:a16="http://schemas.microsoft.com/office/drawing/2014/main" id="{4DCF878E-5E1A-4105-975D-C6BE867A0046}"/>
                </a:ext>
              </a:extLst>
            </xdr:cNvPr>
            <xdr:cNvPicPr>
              <a:picLocks noChangeAspect="1" noChangeArrowheads="1"/>
              <a:extLst>
                <a:ext uri="{84589F7E-364E-4C9E-8A38-B11213B215E9}">
                  <a14:cameraTool cellRange="cnfg_rf!$G$46" spid="_x0000_s11293"/>
                </a:ext>
              </a:extLst>
            </xdr:cNvPicPr>
          </xdr:nvPicPr>
          <xdr:blipFill>
            <a:blip xmlns:r="http://schemas.openxmlformats.org/officeDocument/2006/relationships" r:embed="rId1"/>
            <a:srcRect/>
            <a:stretch>
              <a:fillRect/>
            </a:stretch>
          </xdr:blipFill>
          <xdr:spPr bwMode="auto">
            <a:xfrm>
              <a:off x="7467600" y="981075"/>
              <a:ext cx="2600325" cy="285750"/>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75304516-1863-43DE-BDF6-8DFA7E4F13D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8BD9045E-0263-4908-93EB-49D8C159558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0</xdr:colOff>
      <xdr:row>9</xdr:row>
      <xdr:rowOff>9525</xdr:rowOff>
    </xdr:from>
    <xdr:to>
      <xdr:col>17</xdr:col>
      <xdr:colOff>180975</xdr:colOff>
      <xdr:row>10</xdr:row>
      <xdr:rowOff>771525</xdr:rowOff>
    </xdr:to>
    <xdr:sp macro="" textlink="">
      <xdr:nvSpPr>
        <xdr:cNvPr id="42" name="Rectangle: Rounded Corners 41">
          <a:extLst>
            <a:ext uri="{FF2B5EF4-FFF2-40B4-BE49-F238E27FC236}">
              <a16:creationId xmlns:a16="http://schemas.microsoft.com/office/drawing/2014/main" id="{085BA4BF-DFF1-4F73-9403-C42FF0811340}"/>
            </a:ext>
          </a:extLst>
        </xdr:cNvPr>
        <xdr:cNvSpPr/>
      </xdr:nvSpPr>
      <xdr:spPr>
        <a:xfrm>
          <a:off x="4724400" y="1657350"/>
          <a:ext cx="7705725" cy="1085850"/>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90000" rtlCol="0" anchor="t"/>
        <a:lstStyle/>
        <a:p>
          <a:pPr algn="l">
            <a:lnSpc>
              <a:spcPct val="130000"/>
            </a:lnSpc>
          </a:pPr>
          <a:r>
            <a:rPr lang="de-DE" sz="1200" b="0" baseline="0">
              <a:solidFill>
                <a:schemeClr val="tx2"/>
              </a:solidFill>
              <a:latin typeface="Century Gothic" panose="020B0502020202020204" pitchFamily="34" charset="0"/>
            </a:rPr>
            <a:t>Um das Zinsänderungsrisiko</a:t>
          </a:r>
          <a:r>
            <a:rPr lang="de-DE" sz="1200" b="1" baseline="0">
              <a:solidFill>
                <a:schemeClr val="tx2"/>
              </a:solidFill>
              <a:latin typeface="Century Gothic" panose="020B0502020202020204" pitchFamily="34" charset="0"/>
            </a:rPr>
            <a:t> </a:t>
          </a:r>
          <a:r>
            <a:rPr lang="de-DE" sz="1200" b="0" baseline="0">
              <a:solidFill>
                <a:schemeClr val="tx2"/>
              </a:solidFill>
              <a:latin typeface="Century Gothic" panose="020B0502020202020204" pitchFamily="34" charset="0"/>
            </a:rPr>
            <a:t>zu berechnen, ist entscheidend, wie lange du deine </a:t>
          </a:r>
          <a:r>
            <a:rPr lang="de-DE" sz="1200" b="1" baseline="0">
              <a:solidFill>
                <a:schemeClr val="tx2"/>
              </a:solidFill>
              <a:latin typeface="Century Gothic" panose="020B0502020202020204" pitchFamily="34" charset="0"/>
            </a:rPr>
            <a:t>Zinsen festschreiben</a:t>
          </a:r>
          <a:r>
            <a:rPr lang="de-DE" sz="1200" b="0" baseline="0">
              <a:solidFill>
                <a:schemeClr val="tx2"/>
              </a:solidFill>
              <a:latin typeface="Century Gothic" panose="020B0502020202020204" pitchFamily="34" charset="0"/>
            </a:rPr>
            <a:t> lässt. Danach musst du mit der Bank einen neuen Zinssatz verhandeln. Von der Dauer der Festschreibung hängt ab, wie hoch dann deine Restschuld noch ist und </a:t>
          </a:r>
          <a:r>
            <a:rPr lang="de-DE" sz="1200" b="1" baseline="0">
              <a:solidFill>
                <a:schemeClr val="tx2"/>
              </a:solidFill>
              <a:latin typeface="Century Gothic" panose="020B0502020202020204" pitchFamily="34" charset="0"/>
            </a:rPr>
            <a:t>wie sich deine Rate an die Bank entwickelt</a:t>
          </a:r>
          <a:r>
            <a:rPr lang="de-DE" sz="1200" b="0" baseline="0">
              <a:solidFill>
                <a:schemeClr val="tx2"/>
              </a:solidFill>
              <a:latin typeface="Century Gothic" panose="020B0502020202020204" pitchFamily="34" charset="0"/>
            </a:rPr>
            <a:t>.</a:t>
          </a:r>
        </a:p>
      </xdr:txBody>
    </xdr:sp>
    <xdr:clientData/>
  </xdr:twoCellAnchor>
  <xdr:twoCellAnchor>
    <xdr:from>
      <xdr:col>7</xdr:col>
      <xdr:colOff>0</xdr:colOff>
      <xdr:row>11</xdr:row>
      <xdr:rowOff>9525</xdr:rowOff>
    </xdr:from>
    <xdr:to>
      <xdr:col>17</xdr:col>
      <xdr:colOff>180975</xdr:colOff>
      <xdr:row>14</xdr:row>
      <xdr:rowOff>57150</xdr:rowOff>
    </xdr:to>
    <xdr:sp macro="" textlink="">
      <xdr:nvSpPr>
        <xdr:cNvPr id="43" name="Rectangle: Rounded Corners 42">
          <a:extLst>
            <a:ext uri="{FF2B5EF4-FFF2-40B4-BE49-F238E27FC236}">
              <a16:creationId xmlns:a16="http://schemas.microsoft.com/office/drawing/2014/main" id="{85C6EB22-6AFB-4DA6-9600-170E7B03BE4E}"/>
            </a:ext>
          </a:extLst>
        </xdr:cNvPr>
        <xdr:cNvSpPr/>
      </xdr:nvSpPr>
      <xdr:spPr>
        <a:xfrm>
          <a:off x="4724400" y="2838450"/>
          <a:ext cx="7705725" cy="1362075"/>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tlCol="0" anchor="t"/>
        <a:lstStyle/>
        <a:p>
          <a:pPr algn="l">
            <a:lnSpc>
              <a:spcPct val="130000"/>
            </a:lnSpc>
            <a:spcAft>
              <a:spcPts val="1200"/>
            </a:spcAft>
          </a:pPr>
          <a:endParaRPr lang="de-DE" sz="1200" b="0" baseline="0">
            <a:solidFill>
              <a:schemeClr val="tx2"/>
            </a:solidFill>
            <a:latin typeface="Century Gothic" panose="020B0502020202020204" pitchFamily="34" charset="0"/>
          </a:endParaRPr>
        </a:p>
      </xdr:txBody>
    </xdr:sp>
    <xdr:clientData/>
  </xdr:twoCellAnchor>
  <xdr:twoCellAnchor editAs="oneCell">
    <xdr:from>
      <xdr:col>7</xdr:col>
      <xdr:colOff>114300</xdr:colOff>
      <xdr:row>11</xdr:row>
      <xdr:rowOff>95250</xdr:rowOff>
    </xdr:from>
    <xdr:to>
      <xdr:col>7</xdr:col>
      <xdr:colOff>457200</xdr:colOff>
      <xdr:row>12</xdr:row>
      <xdr:rowOff>114300</xdr:rowOff>
    </xdr:to>
    <xdr:pic>
      <xdr:nvPicPr>
        <xdr:cNvPr id="44" name="Picture 43" descr="http://de.seaicons.com/wp-content/uploads/2015/11/15-Light-Bulb-icon.png">
          <a:extLst>
            <a:ext uri="{FF2B5EF4-FFF2-40B4-BE49-F238E27FC236}">
              <a16:creationId xmlns:a16="http://schemas.microsoft.com/office/drawing/2014/main" id="{3D7EEA72-012D-4120-B82C-2BAC40A27347}"/>
            </a:ext>
          </a:extLst>
        </xdr:cNvPr>
        <xdr:cNvPicPr>
          <a:picLocks noChangeAspect="1" noChangeArrowheads="1"/>
        </xdr:cNvPicPr>
      </xdr:nvPicPr>
      <xdr:blipFill>
        <a:blip xmlns:r="http://schemas.openxmlformats.org/officeDocument/2006/relationships" r:embed="rId4" cstate="print">
          <a:duotone>
            <a:prstClr val="black"/>
            <a:schemeClr val="tx2">
              <a:tint val="45000"/>
              <a:satMod val="400000"/>
            </a:schemeClr>
          </a:duotone>
          <a:extLst>
            <a:ext uri="{28A0092B-C50C-407E-A947-70E740481C1C}">
              <a14:useLocalDpi xmlns:a14="http://schemas.microsoft.com/office/drawing/2010/main" val="0"/>
            </a:ext>
          </a:extLst>
        </a:blip>
        <a:srcRect/>
        <a:stretch>
          <a:fillRect/>
        </a:stretch>
      </xdr:blipFill>
      <xdr:spPr bwMode="auto">
        <a:xfrm>
          <a:off x="4838700" y="2924175"/>
          <a:ext cx="34290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457200</xdr:colOff>
      <xdr:row>11</xdr:row>
      <xdr:rowOff>57150</xdr:rowOff>
    </xdr:from>
    <xdr:to>
      <xdr:col>17</xdr:col>
      <xdr:colOff>180975</xdr:colOff>
      <xdr:row>13</xdr:row>
      <xdr:rowOff>133350</xdr:rowOff>
    </xdr:to>
    <xdr:sp macro="" textlink="txt_rf!E20">
      <xdr:nvSpPr>
        <xdr:cNvPr id="45" name="Rectangle 44">
          <a:extLst>
            <a:ext uri="{FF2B5EF4-FFF2-40B4-BE49-F238E27FC236}">
              <a16:creationId xmlns:a16="http://schemas.microsoft.com/office/drawing/2014/main" id="{7FEAFE50-0966-4444-B649-785892C197F3}"/>
            </a:ext>
          </a:extLst>
        </xdr:cNvPr>
        <xdr:cNvSpPr/>
      </xdr:nvSpPr>
      <xdr:spPr>
        <a:xfrm>
          <a:off x="5181600" y="2886075"/>
          <a:ext cx="7248525" cy="723900"/>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Ins="72000" rtlCol="0" anchor="t"/>
        <a:lstStyle/>
        <a:p>
          <a:pPr algn="l"/>
          <a:fld id="{5841EC51-A499-4823-8530-C5E09430DE82}" type="TxLink">
            <a:rPr lang="en-US" sz="1200" b="0" i="0" u="none" strike="noStrike">
              <a:solidFill>
                <a:schemeClr val="tx2"/>
              </a:solidFill>
              <a:latin typeface="Century Gothic" panose="020B0502020202020204" pitchFamily="34" charset="0"/>
              <a:cs typeface="Calibri"/>
            </a:rPr>
            <a:pPr algn="l"/>
            <a:t>In einem Jahr hast du noch 0 Euro Schulden. Bei einem neuen Zinssatz von - % bleibt deine Rate an die Bank genau gleich hoch wie jetzt am Anfang. Bei jedem Prozent darüber steigt deine Rate an die Bank um 0 Euro.</a:t>
          </a:fld>
          <a:endParaRPr lang="de-DE" sz="1200">
            <a:solidFill>
              <a:schemeClr val="tx2"/>
            </a:solidFill>
            <a:latin typeface="Century Gothic" panose="020B0502020202020204" pitchFamily="34" charset="0"/>
          </a:endParaRPr>
        </a:p>
      </xdr:txBody>
    </xdr:sp>
    <xdr:clientData/>
  </xdr:twoCellAnchor>
  <xdr:twoCellAnchor>
    <xdr:from>
      <xdr:col>7</xdr:col>
      <xdr:colOff>457200</xdr:colOff>
      <xdr:row>13</xdr:row>
      <xdr:rowOff>85725</xdr:rowOff>
    </xdr:from>
    <xdr:to>
      <xdr:col>17</xdr:col>
      <xdr:colOff>180975</xdr:colOff>
      <xdr:row>13</xdr:row>
      <xdr:rowOff>638175</xdr:rowOff>
    </xdr:to>
    <xdr:sp macro="" textlink="">
      <xdr:nvSpPr>
        <xdr:cNvPr id="46" name="Rectangle 45">
          <a:extLst>
            <a:ext uri="{FF2B5EF4-FFF2-40B4-BE49-F238E27FC236}">
              <a16:creationId xmlns:a16="http://schemas.microsoft.com/office/drawing/2014/main" id="{5691DED7-ECCE-4385-8D36-C756E2AF4D17}"/>
            </a:ext>
          </a:extLst>
        </xdr:cNvPr>
        <xdr:cNvSpPr/>
      </xdr:nvSpPr>
      <xdr:spPr>
        <a:xfrm>
          <a:off x="5181600" y="3562350"/>
          <a:ext cx="7248525" cy="552450"/>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Ins="72000" rtlCol="0" anchor="t"/>
        <a:lstStyle/>
        <a:p>
          <a:pPr algn="l">
            <a:lnSpc>
              <a:spcPct val="130000"/>
            </a:lnSpc>
          </a:pPr>
          <a:r>
            <a:rPr lang="en-US" sz="1200" b="0" i="0" u="none" strike="noStrike">
              <a:solidFill>
                <a:schemeClr val="tx2"/>
              </a:solidFill>
              <a:latin typeface="Century Gothic" panose="020B0502020202020204" pitchFamily="34" charset="0"/>
              <a:cs typeface="Calibri"/>
            </a:rPr>
            <a:t>Wir haben dabei angenommen, dass du monatlich wieder genauso viel zurückzahlen (tilgen) möchtest, wie in Jahr 1.</a:t>
          </a:r>
        </a:p>
      </xdr:txBody>
    </xdr:sp>
    <xdr:clientData/>
  </xdr:twoCellAnchor>
  <xdr:twoCellAnchor>
    <xdr:from>
      <xdr:col>3</xdr:col>
      <xdr:colOff>333375</xdr:colOff>
      <xdr:row>13</xdr:row>
      <xdr:rowOff>352425</xdr:rowOff>
    </xdr:from>
    <xdr:to>
      <xdr:col>5</xdr:col>
      <xdr:colOff>0</xdr:colOff>
      <xdr:row>14</xdr:row>
      <xdr:rowOff>66675</xdr:rowOff>
    </xdr:to>
    <xdr:sp macro="" textlink="">
      <xdr:nvSpPr>
        <xdr:cNvPr id="50" name="Arrow: Right 49">
          <a:hlinkClick xmlns:r="http://schemas.openxmlformats.org/officeDocument/2006/relationships" r:id="rId5"/>
          <a:extLst>
            <a:ext uri="{FF2B5EF4-FFF2-40B4-BE49-F238E27FC236}">
              <a16:creationId xmlns:a16="http://schemas.microsoft.com/office/drawing/2014/main" id="{331F7984-F835-4342-9A8B-4B7C9BB35BE9}"/>
            </a:ext>
          </a:extLst>
        </xdr:cNvPr>
        <xdr:cNvSpPr/>
      </xdr:nvSpPr>
      <xdr:spPr>
        <a:xfrm>
          <a:off x="2276475" y="382905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0</xdr:col>
      <xdr:colOff>209550</xdr:colOff>
      <xdr:row>13</xdr:row>
      <xdr:rowOff>352425</xdr:rowOff>
    </xdr:from>
    <xdr:to>
      <xdr:col>2</xdr:col>
      <xdr:colOff>1323975</xdr:colOff>
      <xdr:row>14</xdr:row>
      <xdr:rowOff>66675</xdr:rowOff>
    </xdr:to>
    <xdr:sp macro="" textlink="">
      <xdr:nvSpPr>
        <xdr:cNvPr id="51" name="Arrow: Right 50">
          <a:hlinkClick xmlns:r="http://schemas.openxmlformats.org/officeDocument/2006/relationships" r:id="rId6"/>
          <a:extLst>
            <a:ext uri="{FF2B5EF4-FFF2-40B4-BE49-F238E27FC236}">
              <a16:creationId xmlns:a16="http://schemas.microsoft.com/office/drawing/2014/main" id="{AB3E81B3-3F04-4E79-9307-2058CEA70C19}"/>
            </a:ext>
          </a:extLst>
        </xdr:cNvPr>
        <xdr:cNvSpPr/>
      </xdr:nvSpPr>
      <xdr:spPr>
        <a:xfrm flipH="1">
          <a:off x="209550" y="382905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4</xdr:col>
      <xdr:colOff>76200</xdr:colOff>
      <xdr:row>0</xdr:row>
      <xdr:rowOff>133350</xdr:rowOff>
    </xdr:from>
    <xdr:to>
      <xdr:col>17</xdr:col>
      <xdr:colOff>257175</xdr:colOff>
      <xdr:row>2</xdr:row>
      <xdr:rowOff>29325</xdr:rowOff>
    </xdr:to>
    <xdr:grpSp>
      <xdr:nvGrpSpPr>
        <xdr:cNvPr id="47" name="Group 46">
          <a:extLst>
            <a:ext uri="{FF2B5EF4-FFF2-40B4-BE49-F238E27FC236}">
              <a16:creationId xmlns:a16="http://schemas.microsoft.com/office/drawing/2014/main" id="{329B713B-2F0E-4504-BB30-AF7EB440FBE3}"/>
            </a:ext>
          </a:extLst>
        </xdr:cNvPr>
        <xdr:cNvGrpSpPr/>
      </xdr:nvGrpSpPr>
      <xdr:grpSpPr>
        <a:xfrm>
          <a:off x="3365500" y="133350"/>
          <a:ext cx="10937875" cy="238875"/>
          <a:chOff x="2952750" y="137737"/>
          <a:chExt cx="9563100" cy="248400"/>
        </a:xfrm>
      </xdr:grpSpPr>
      <xdr:sp macro="" textlink="">
        <xdr:nvSpPr>
          <xdr:cNvPr id="48" name="Rectangle 47">
            <a:hlinkClick xmlns:r="http://schemas.openxmlformats.org/officeDocument/2006/relationships" r:id="rId7"/>
            <a:extLst>
              <a:ext uri="{FF2B5EF4-FFF2-40B4-BE49-F238E27FC236}">
                <a16:creationId xmlns:a16="http://schemas.microsoft.com/office/drawing/2014/main" id="{B5F21108-BD34-41C9-9310-27BCBFE23C86}"/>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49" name="Rectangle 48">
            <a:hlinkClick xmlns:r="http://schemas.openxmlformats.org/officeDocument/2006/relationships" r:id="rId8"/>
            <a:extLst>
              <a:ext uri="{FF2B5EF4-FFF2-40B4-BE49-F238E27FC236}">
                <a16:creationId xmlns:a16="http://schemas.microsoft.com/office/drawing/2014/main" id="{52C3B70E-70B9-4994-8292-07420E807F17}"/>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52" name="Rectangle 51">
            <a:hlinkClick xmlns:r="http://schemas.openxmlformats.org/officeDocument/2006/relationships" r:id="rId9"/>
            <a:extLst>
              <a:ext uri="{FF2B5EF4-FFF2-40B4-BE49-F238E27FC236}">
                <a16:creationId xmlns:a16="http://schemas.microsoft.com/office/drawing/2014/main" id="{C55328B0-947F-4F20-95C8-008576E0F36E}"/>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Finanzierung</a:t>
            </a:r>
          </a:p>
        </xdr:txBody>
      </xdr:sp>
      <xdr:sp macro="" textlink="">
        <xdr:nvSpPr>
          <xdr:cNvPr id="53" name="Rectangle 52">
            <a:hlinkClick xmlns:r="http://schemas.openxmlformats.org/officeDocument/2006/relationships" r:id="rId10"/>
            <a:extLst>
              <a:ext uri="{FF2B5EF4-FFF2-40B4-BE49-F238E27FC236}">
                <a16:creationId xmlns:a16="http://schemas.microsoft.com/office/drawing/2014/main" id="{B6E0D3A6-3C92-48A0-B6E6-920EDE3CEEF3}"/>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Hausgeld &amp;</a:t>
            </a:r>
            <a:r>
              <a:rPr lang="de-DE" sz="1050" u="none" baseline="0">
                <a:solidFill>
                  <a:schemeClr val="bg1"/>
                </a:solidFill>
                <a:latin typeface="+mn-lt"/>
              </a:rPr>
              <a:t> Rücklagen</a:t>
            </a:r>
            <a:endParaRPr lang="de-DE" sz="1050" u="none">
              <a:solidFill>
                <a:schemeClr val="bg1"/>
              </a:solidFill>
              <a:latin typeface="+mn-lt"/>
            </a:endParaRPr>
          </a:p>
        </xdr:txBody>
      </xdr:sp>
      <xdr:sp macro="" textlink="">
        <xdr:nvSpPr>
          <xdr:cNvPr id="54" name="Rectangle 53">
            <a:hlinkClick xmlns:r="http://schemas.openxmlformats.org/officeDocument/2006/relationships" r:id="rId11"/>
            <a:extLst>
              <a:ext uri="{FF2B5EF4-FFF2-40B4-BE49-F238E27FC236}">
                <a16:creationId xmlns:a16="http://schemas.microsoft.com/office/drawing/2014/main" id="{666F33A0-8ADB-4FEE-A4AA-1638EF9FDF87}"/>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sng">
                <a:solidFill>
                  <a:schemeClr val="bg1"/>
                </a:solidFill>
                <a:latin typeface="+mn-lt"/>
              </a:rPr>
              <a:t>Zinsrisiko</a:t>
            </a:r>
          </a:p>
        </xdr:txBody>
      </xdr:sp>
      <xdr:sp macro="" textlink="">
        <xdr:nvSpPr>
          <xdr:cNvPr id="55" name="Rectangle 54">
            <a:hlinkClick xmlns:r="http://schemas.openxmlformats.org/officeDocument/2006/relationships" r:id="rId5"/>
            <a:extLst>
              <a:ext uri="{FF2B5EF4-FFF2-40B4-BE49-F238E27FC236}">
                <a16:creationId xmlns:a16="http://schemas.microsoft.com/office/drawing/2014/main" id="{6CAD5C39-276A-4ECE-9AC5-06D36816EB38}"/>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Steuern</a:t>
            </a:r>
          </a:p>
        </xdr:txBody>
      </xdr:sp>
      <xdr:sp macro="" textlink="">
        <xdr:nvSpPr>
          <xdr:cNvPr id="56" name="Rectangle 55">
            <a:hlinkClick xmlns:r="http://schemas.openxmlformats.org/officeDocument/2006/relationships" r:id="rId12"/>
            <a:extLst>
              <a:ext uri="{FF2B5EF4-FFF2-40B4-BE49-F238E27FC236}">
                <a16:creationId xmlns:a16="http://schemas.microsoft.com/office/drawing/2014/main" id="{9BEC9BD6-FDBD-4B8D-80DA-B1B89BB209D9}"/>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57" name="Rectangle 56">
            <a:extLst>
              <a:ext uri="{FF2B5EF4-FFF2-40B4-BE49-F238E27FC236}">
                <a16:creationId xmlns:a16="http://schemas.microsoft.com/office/drawing/2014/main" id="{86D9D408-3418-496B-BD20-10775E64997F}"/>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8" name="Rectangle 57">
            <a:extLst>
              <a:ext uri="{FF2B5EF4-FFF2-40B4-BE49-F238E27FC236}">
                <a16:creationId xmlns:a16="http://schemas.microsoft.com/office/drawing/2014/main" id="{10A3152B-BA84-434C-B346-16A15204A53C}"/>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9" name="Rectangle 58">
            <a:extLst>
              <a:ext uri="{FF2B5EF4-FFF2-40B4-BE49-F238E27FC236}">
                <a16:creationId xmlns:a16="http://schemas.microsoft.com/office/drawing/2014/main" id="{949B5507-E4A0-4D60-A27E-65D2AB9D6BC5}"/>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0" name="Rectangle 59">
            <a:extLst>
              <a:ext uri="{FF2B5EF4-FFF2-40B4-BE49-F238E27FC236}">
                <a16:creationId xmlns:a16="http://schemas.microsoft.com/office/drawing/2014/main" id="{351BC5E7-68A1-467B-AC5D-B299CB820BA7}"/>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1" name="Rectangle 60">
            <a:extLst>
              <a:ext uri="{FF2B5EF4-FFF2-40B4-BE49-F238E27FC236}">
                <a16:creationId xmlns:a16="http://schemas.microsoft.com/office/drawing/2014/main" id="{A6AF3F46-2D5B-40C5-B1F8-B1163AF3FECC}"/>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2" name="Rectangle 61">
            <a:extLst>
              <a:ext uri="{FF2B5EF4-FFF2-40B4-BE49-F238E27FC236}">
                <a16:creationId xmlns:a16="http://schemas.microsoft.com/office/drawing/2014/main" id="{EBFB3839-F95B-478B-9700-78C9CFAC9287}"/>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3" name="Rectangle 62">
            <a:extLst>
              <a:ext uri="{FF2B5EF4-FFF2-40B4-BE49-F238E27FC236}">
                <a16:creationId xmlns:a16="http://schemas.microsoft.com/office/drawing/2014/main" id="{E6BACC4B-CC01-409C-BFDB-AF0EFAD7CE88}"/>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4" name="Rectangle: Rounded Corners 63">
            <a:hlinkClick xmlns:r="http://schemas.openxmlformats.org/officeDocument/2006/relationships" r:id="rId13"/>
            <a:extLst>
              <a:ext uri="{FF2B5EF4-FFF2-40B4-BE49-F238E27FC236}">
                <a16:creationId xmlns:a16="http://schemas.microsoft.com/office/drawing/2014/main" id="{971D55C7-44BF-409D-950B-09C6D8C99DD8}"/>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65" name="Rectangle 64">
            <a:extLst>
              <a:ext uri="{FF2B5EF4-FFF2-40B4-BE49-F238E27FC236}">
                <a16:creationId xmlns:a16="http://schemas.microsoft.com/office/drawing/2014/main" id="{9C0715A9-52CC-49F9-8413-DEA787A5D931}"/>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6" name="Rectangle: Rounded Corners 65">
            <a:hlinkClick xmlns:r="http://schemas.openxmlformats.org/officeDocument/2006/relationships" r:id="rId14"/>
            <a:extLst>
              <a:ext uri="{FF2B5EF4-FFF2-40B4-BE49-F238E27FC236}">
                <a16:creationId xmlns:a16="http://schemas.microsoft.com/office/drawing/2014/main" id="{840FE6D7-188B-4C59-AD7A-0959F2E0446A}"/>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600075</xdr:colOff>
      <xdr:row>3</xdr:row>
      <xdr:rowOff>142875</xdr:rowOff>
    </xdr:from>
    <xdr:to>
      <xdr:col>17</xdr:col>
      <xdr:colOff>237557</xdr:colOff>
      <xdr:row>5</xdr:row>
      <xdr:rowOff>246460</xdr:rowOff>
    </xdr:to>
    <xdr:grpSp>
      <xdr:nvGrpSpPr>
        <xdr:cNvPr id="67" name="Group 66">
          <a:extLst>
            <a:ext uri="{FF2B5EF4-FFF2-40B4-BE49-F238E27FC236}">
              <a16:creationId xmlns:a16="http://schemas.microsoft.com/office/drawing/2014/main" id="{C6C992C2-21CD-4714-B962-6AAE29550123}"/>
            </a:ext>
          </a:extLst>
        </xdr:cNvPr>
        <xdr:cNvGrpSpPr/>
      </xdr:nvGrpSpPr>
      <xdr:grpSpPr>
        <a:xfrm>
          <a:off x="5311775" y="638175"/>
          <a:ext cx="8971982" cy="560785"/>
          <a:chOff x="4705350" y="652463"/>
          <a:chExt cx="7771832" cy="579835"/>
        </a:xfrm>
      </xdr:grpSpPr>
      <xdr:grpSp>
        <xdr:nvGrpSpPr>
          <xdr:cNvPr id="68" name="Group 67">
            <a:extLst>
              <a:ext uri="{FF2B5EF4-FFF2-40B4-BE49-F238E27FC236}">
                <a16:creationId xmlns:a16="http://schemas.microsoft.com/office/drawing/2014/main" id="{CFBBC29F-3AD3-449A-A11E-244F77F6BF9E}"/>
              </a:ext>
            </a:extLst>
          </xdr:cNvPr>
          <xdr:cNvGrpSpPr/>
        </xdr:nvGrpSpPr>
        <xdr:grpSpPr>
          <a:xfrm>
            <a:off x="4705350" y="652463"/>
            <a:ext cx="7771832" cy="257175"/>
            <a:chOff x="4705350" y="642938"/>
            <a:chExt cx="7771832" cy="257175"/>
          </a:xfrm>
        </xdr:grpSpPr>
        <xdr:sp macro="" textlink="">
          <xdr:nvSpPr>
            <xdr:cNvPr id="76" name="Rectangle 75">
              <a:extLst>
                <a:ext uri="{FF2B5EF4-FFF2-40B4-BE49-F238E27FC236}">
                  <a16:creationId xmlns:a16="http://schemas.microsoft.com/office/drawing/2014/main" id="{59FC5CF8-0A3E-40F7-9714-E40868DFB9E4}"/>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77" name="Rectangle 76">
              <a:extLst>
                <a:ext uri="{FF2B5EF4-FFF2-40B4-BE49-F238E27FC236}">
                  <a16:creationId xmlns:a16="http://schemas.microsoft.com/office/drawing/2014/main" id="{0F3E424F-7CFA-44B7-B9D2-8BB36AC23FE7}"/>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78" name="Rectangle 77">
              <a:extLst>
                <a:ext uri="{FF2B5EF4-FFF2-40B4-BE49-F238E27FC236}">
                  <a16:creationId xmlns:a16="http://schemas.microsoft.com/office/drawing/2014/main" id="{52BCAA02-93D2-406A-959C-2BF018F71F7D}"/>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79" name="Rectangle 78">
              <a:extLst>
                <a:ext uri="{FF2B5EF4-FFF2-40B4-BE49-F238E27FC236}">
                  <a16:creationId xmlns:a16="http://schemas.microsoft.com/office/drawing/2014/main" id="{0A87AE23-93DA-4120-98D7-D5620A9F3495}"/>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159E6E7D-29E4-4548-A5DC-57404D734EDD}"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80" name="Rectangle 79">
              <a:extLst>
                <a:ext uri="{FF2B5EF4-FFF2-40B4-BE49-F238E27FC236}">
                  <a16:creationId xmlns:a16="http://schemas.microsoft.com/office/drawing/2014/main" id="{B48C97AA-0A4E-4BD8-99DA-190B1139085F}"/>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ABF17D80-D35A-43C3-A13C-2585F9A22872}"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81" name="Rectangle 80">
              <a:extLst>
                <a:ext uri="{FF2B5EF4-FFF2-40B4-BE49-F238E27FC236}">
                  <a16:creationId xmlns:a16="http://schemas.microsoft.com/office/drawing/2014/main" id="{E6055C07-B63B-4F4D-B0F6-DCAA20CB5548}"/>
                </a:ext>
              </a:extLst>
            </xdr:cNvPr>
            <xdr:cNvSpPr/>
          </xdr:nvSpPr>
          <xdr:spPr>
            <a:xfrm>
              <a:off x="11277600" y="642938"/>
              <a:ext cx="11995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D473B509-29A7-470C-B891-A1F5930FC699}"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69" name="Group 68">
            <a:extLst>
              <a:ext uri="{FF2B5EF4-FFF2-40B4-BE49-F238E27FC236}">
                <a16:creationId xmlns:a16="http://schemas.microsoft.com/office/drawing/2014/main" id="{D3CFDF52-68C8-4AE5-832A-C6FFE4AD7B68}"/>
              </a:ext>
            </a:extLst>
          </xdr:cNvPr>
          <xdr:cNvGrpSpPr/>
        </xdr:nvGrpSpPr>
        <xdr:grpSpPr>
          <a:xfrm>
            <a:off x="4705350" y="975123"/>
            <a:ext cx="7771832" cy="257175"/>
            <a:chOff x="4705350" y="975123"/>
            <a:chExt cx="7771832" cy="257175"/>
          </a:xfrm>
        </xdr:grpSpPr>
        <xdr:sp macro="" textlink="">
          <xdr:nvSpPr>
            <xdr:cNvPr id="70" name="Rectangle 69">
              <a:extLst>
                <a:ext uri="{FF2B5EF4-FFF2-40B4-BE49-F238E27FC236}">
                  <a16:creationId xmlns:a16="http://schemas.microsoft.com/office/drawing/2014/main" id="{D57CF65C-29E1-477B-ACC9-0FC216B7A55A}"/>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71" name="Rectangle 70">
              <a:extLst>
                <a:ext uri="{FF2B5EF4-FFF2-40B4-BE49-F238E27FC236}">
                  <a16:creationId xmlns:a16="http://schemas.microsoft.com/office/drawing/2014/main" id="{E757B6D2-8A39-4DAF-840A-CC9F58EAC5B1}"/>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72" name="Rectangle 71">
              <a:extLst>
                <a:ext uri="{FF2B5EF4-FFF2-40B4-BE49-F238E27FC236}">
                  <a16:creationId xmlns:a16="http://schemas.microsoft.com/office/drawing/2014/main" id="{48145089-600E-47D0-9621-555C75D3AF24}"/>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73" name="Rectangle 72">
              <a:extLst>
                <a:ext uri="{FF2B5EF4-FFF2-40B4-BE49-F238E27FC236}">
                  <a16:creationId xmlns:a16="http://schemas.microsoft.com/office/drawing/2014/main" id="{B62D93A9-FCA6-492C-9483-6597496374B9}"/>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0A64E72E-55A2-4C45-AA16-2778C7807DE0}"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74" name="Rectangle 73">
              <a:extLst>
                <a:ext uri="{FF2B5EF4-FFF2-40B4-BE49-F238E27FC236}">
                  <a16:creationId xmlns:a16="http://schemas.microsoft.com/office/drawing/2014/main" id="{7AD4F06F-BC26-42C6-9009-E7FF16D39DEC}"/>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8DF456F7-A82B-4848-8DBB-108B0269FB22}"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75" name="Rectangle 74">
              <a:extLst>
                <a:ext uri="{FF2B5EF4-FFF2-40B4-BE49-F238E27FC236}">
                  <a16:creationId xmlns:a16="http://schemas.microsoft.com/office/drawing/2014/main" id="{CD00B6EA-EAB2-4B51-8A98-F5AC026160F1}"/>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D261426B-533C-4D13-853A-44383F0F1399}"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twoCellAnchor>
    <xdr:from>
      <xdr:col>0</xdr:col>
      <xdr:colOff>161925</xdr:colOff>
      <xdr:row>7</xdr:row>
      <xdr:rowOff>9525</xdr:rowOff>
    </xdr:from>
    <xdr:to>
      <xdr:col>17</xdr:col>
      <xdr:colOff>171450</xdr:colOff>
      <xdr:row>7</xdr:row>
      <xdr:rowOff>1543050</xdr:rowOff>
    </xdr:to>
    <xdr:sp macro="" textlink="">
      <xdr:nvSpPr>
        <xdr:cNvPr id="82" name="Rectangle: Rounded Corners 81">
          <a:extLst>
            <a:ext uri="{FF2B5EF4-FFF2-40B4-BE49-F238E27FC236}">
              <a16:creationId xmlns:a16="http://schemas.microsoft.com/office/drawing/2014/main" id="{0C012558-51D7-4C8D-8278-CE6EBF55E168}"/>
            </a:ext>
          </a:extLst>
        </xdr:cNvPr>
        <xdr:cNvSpPr/>
      </xdr:nvSpPr>
      <xdr:spPr>
        <a:xfrm>
          <a:off x="161925" y="1657350"/>
          <a:ext cx="12258675" cy="1533525"/>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tlCol="0" anchor="t"/>
        <a:lstStyle/>
        <a:p>
          <a:pPr algn="l">
            <a:lnSpc>
              <a:spcPct val="130000"/>
            </a:lnSpc>
            <a:spcAft>
              <a:spcPts val="1200"/>
            </a:spcAft>
          </a:pPr>
          <a:r>
            <a:rPr lang="de-DE" sz="1200" b="0" baseline="0">
              <a:solidFill>
                <a:schemeClr val="tx2"/>
              </a:solidFill>
              <a:latin typeface="Century Gothic" panose="020B0502020202020204" pitchFamily="34" charset="0"/>
            </a:rPr>
            <a:t>Bevor es mit der Steuer weitergeht, wollen dich noch auf ein wichtiges Risiko aufmerksam machen: Das </a:t>
          </a:r>
          <a:r>
            <a:rPr lang="de-DE" sz="1200" b="1" baseline="0">
              <a:solidFill>
                <a:schemeClr val="tx2"/>
              </a:solidFill>
              <a:latin typeface="Century Gothic" panose="020B0502020202020204" pitchFamily="34" charset="0"/>
            </a:rPr>
            <a:t>Zinsänderungsrisiko</a:t>
          </a:r>
          <a:r>
            <a:rPr lang="de-DE" sz="1200" b="0" baseline="0">
              <a:solidFill>
                <a:schemeClr val="tx2"/>
              </a:solidFill>
              <a:latin typeface="Century Gothic" panose="020B0502020202020204" pitchFamily="34" charset="0"/>
            </a:rPr>
            <a:t>.</a:t>
          </a:r>
        </a:p>
        <a:p>
          <a:pPr algn="l">
            <a:lnSpc>
              <a:spcPct val="130000"/>
            </a:lnSpc>
            <a:spcAft>
              <a:spcPts val="1200"/>
            </a:spcAft>
          </a:pPr>
          <a:r>
            <a:rPr lang="de-DE" sz="1200" b="0" baseline="0">
              <a:solidFill>
                <a:schemeClr val="tx2"/>
              </a:solidFill>
              <a:latin typeface="Century Gothic" panose="020B0502020202020204" pitchFamily="34" charset="0"/>
            </a:rPr>
            <a:t>Nach 10 oder 15 Jahren läuft in der Regel die Zinsbindung deines Darlehens aus. Du verhandelst dann einen neuen Zinssatz mit der Bank. Dieser kann höher sein als der bisherige - wenn das Zinsniveau insgesamt gestiegen ist. Dadurch kann auch deine monatliche Rate an die Bank steigen. Du musst dann möglicherweise jeden Monat (mehr) </a:t>
          </a:r>
          <a:r>
            <a:rPr lang="de-DE" sz="1200" b="1" baseline="0">
              <a:solidFill>
                <a:schemeClr val="tx2"/>
              </a:solidFill>
              <a:latin typeface="Century Gothic" panose="020B0502020202020204" pitchFamily="34" charset="0"/>
            </a:rPr>
            <a:t>Geld zuschießen</a:t>
          </a:r>
          <a:r>
            <a:rPr lang="de-DE" sz="1200" b="0" baseline="0">
              <a:solidFill>
                <a:schemeClr val="tx2"/>
              </a:solidFill>
              <a:latin typeface="Century Gothic" panose="020B0502020202020204" pitchFamily="34" charset="0"/>
            </a:rPr>
            <a:t>. Es ist deshalb wichtig, dass du vor dem Kauf ein Gefühl dafür entwickelst, wie anfällig dein Investment für solche </a:t>
          </a:r>
          <a:r>
            <a:rPr lang="de-DE" sz="1200" b="1" baseline="0">
              <a:solidFill>
                <a:schemeClr val="tx2"/>
              </a:solidFill>
              <a:latin typeface="Century Gothic" panose="020B0502020202020204" pitchFamily="34" charset="0"/>
            </a:rPr>
            <a:t>Zinsänderungen</a:t>
          </a:r>
          <a:r>
            <a:rPr lang="de-DE" sz="1200" b="0" baseline="0">
              <a:solidFill>
                <a:schemeClr val="tx2"/>
              </a:solidFill>
              <a:latin typeface="Century Gothic" panose="020B0502020202020204" pitchFamily="34" charset="0"/>
            </a:rPr>
            <a:t> ist und welche neuen Zinsen du dir </a:t>
          </a:r>
          <a:r>
            <a:rPr lang="de-DE" sz="1200" b="1" baseline="0">
              <a:solidFill>
                <a:schemeClr val="tx2"/>
              </a:solidFill>
              <a:latin typeface="Century Gothic" panose="020B0502020202020204" pitchFamily="34" charset="0"/>
            </a:rPr>
            <a:t>zukünftig leisten </a:t>
          </a:r>
          <a:r>
            <a:rPr lang="de-DE" sz="1200" b="0" baseline="0">
              <a:solidFill>
                <a:schemeClr val="tx2"/>
              </a:solidFill>
              <a:latin typeface="Century Gothic" panose="020B0502020202020204" pitchFamily="34" charset="0"/>
            </a:rPr>
            <a:t>kannst. Deshalb berechnen wir jetzt dein Zinsänderungsrisiko.</a:t>
          </a:r>
        </a:p>
      </xdr:txBody>
    </xdr:sp>
    <xdr:clientData/>
  </xdr:twoCellAnchor>
  <xdr:twoCellAnchor editAs="oneCell">
    <xdr:from>
      <xdr:col>1</xdr:col>
      <xdr:colOff>85726</xdr:colOff>
      <xdr:row>7</xdr:row>
      <xdr:rowOff>123827</xdr:rowOff>
    </xdr:from>
    <xdr:to>
      <xdr:col>2</xdr:col>
      <xdr:colOff>28575</xdr:colOff>
      <xdr:row>7</xdr:row>
      <xdr:rowOff>390804</xdr:rowOff>
    </xdr:to>
    <xdr:pic>
      <xdr:nvPicPr>
        <xdr:cNvPr id="85" name="Picture 84" descr="Warnung, Vorsicht, Anmelden, Symbol">
          <a:extLst>
            <a:ext uri="{FF2B5EF4-FFF2-40B4-BE49-F238E27FC236}">
              <a16:creationId xmlns:a16="http://schemas.microsoft.com/office/drawing/2014/main" id="{0B9DB2C2-4F2C-4D12-BB01-9C67DAE19675}"/>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304801" y="1771652"/>
          <a:ext cx="304799" cy="266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6D578677-89B2-4873-A9E5-7AE76830E5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BA7C6F3E-CB4C-418E-A952-70D6EB12C1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28575</xdr:colOff>
      <xdr:row>7</xdr:row>
      <xdr:rowOff>9525</xdr:rowOff>
    </xdr:from>
    <xdr:to>
      <xdr:col>17</xdr:col>
      <xdr:colOff>180975</xdr:colOff>
      <xdr:row>12</xdr:row>
      <xdr:rowOff>66675</xdr:rowOff>
    </xdr:to>
    <xdr:sp macro="" textlink="">
      <xdr:nvSpPr>
        <xdr:cNvPr id="35" name="Rectangle: Rounded Corners 34">
          <a:extLst>
            <a:ext uri="{FF2B5EF4-FFF2-40B4-BE49-F238E27FC236}">
              <a16:creationId xmlns:a16="http://schemas.microsoft.com/office/drawing/2014/main" id="{E25134DD-D278-4181-A61E-FC301327AAB6}"/>
            </a:ext>
          </a:extLst>
        </xdr:cNvPr>
        <xdr:cNvSpPr/>
      </xdr:nvSpPr>
      <xdr:spPr>
        <a:xfrm>
          <a:off x="247650" y="1657350"/>
          <a:ext cx="12182475" cy="2552700"/>
        </a:xfrm>
        <a:prstGeom prst="roundRect">
          <a:avLst>
            <a:gd name="adj" fmla="val 363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tlCol="0" anchor="t"/>
        <a:lstStyle/>
        <a:p>
          <a:pPr marL="0" marR="0" lvl="0" indent="0" algn="l" defTabSz="914400" eaLnBrk="1" fontAlgn="auto" latinLnBrk="0" hangingPunct="1">
            <a:lnSpc>
              <a:spcPct val="130000"/>
            </a:lnSpc>
            <a:spcBef>
              <a:spcPts val="0"/>
            </a:spcBef>
            <a:spcAft>
              <a:spcPts val="1200"/>
            </a:spcAft>
            <a:buClrTx/>
            <a:buSzTx/>
            <a:buFontTx/>
            <a:buNone/>
            <a:tabLst/>
            <a:defRPr/>
          </a:pPr>
          <a:r>
            <a:rPr kumimoji="0" lang="de-DE"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Als letzten Schritt berechnen wir jetzt die Auswirkung der Steuer auf deinen Cashflow, der sich dadurch nochmal erheblich verändern kann.</a:t>
          </a:r>
        </a:p>
        <a:p>
          <a:pPr marL="0" marR="0" lvl="0" indent="0" algn="l" defTabSz="914400" eaLnBrk="1" fontAlgn="auto" latinLnBrk="0" hangingPunct="1">
            <a:lnSpc>
              <a:spcPct val="130000"/>
            </a:lnSpc>
            <a:spcBef>
              <a:spcPts val="0"/>
            </a:spcBef>
            <a:spcAft>
              <a:spcPts val="1200"/>
            </a:spcAft>
            <a:buClrTx/>
            <a:buSzTx/>
            <a:buFontTx/>
            <a:buNone/>
            <a:tabLst/>
            <a:defRPr/>
          </a:pPr>
          <a:r>
            <a:rPr kumimoji="0" lang="de-DE"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Grundsätzlich gilt in Deutschland: Deine </a:t>
          </a:r>
          <a:r>
            <a:rPr kumimoji="0" lang="de-DE" sz="1200" b="1"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Mieteinnahmen musst du versteuern</a:t>
          </a:r>
          <a:r>
            <a:rPr kumimoji="0" lang="de-DE"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 Du gibst sie in deiner Steuererklärung an und das Finanzamt verlangt dann nachträglich Geld von dir. Diese Steuer kann großen (negativen) </a:t>
          </a:r>
          <a:r>
            <a:rPr kumimoji="0" lang="de-DE" sz="1200" b="1"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Einfluss</a:t>
          </a:r>
          <a:r>
            <a:rPr kumimoji="0" lang="de-DE"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 auf deinen Cashflow haben. Es ist deshalb wichtig, dass du sie richtig und vollständig einkalkulierst.</a:t>
          </a:r>
        </a:p>
        <a:p>
          <a:pPr marL="0" marR="0" lvl="0" indent="0" algn="l" defTabSz="914400" eaLnBrk="1" fontAlgn="auto" latinLnBrk="0" hangingPunct="1">
            <a:lnSpc>
              <a:spcPct val="130000"/>
            </a:lnSpc>
            <a:spcBef>
              <a:spcPts val="0"/>
            </a:spcBef>
            <a:spcAft>
              <a:spcPts val="1200"/>
            </a:spcAft>
            <a:buClrTx/>
            <a:buSzTx/>
            <a:buFontTx/>
            <a:buNone/>
            <a:tabLst/>
            <a:defRPr/>
          </a:pPr>
          <a:r>
            <a:rPr kumimoji="0" lang="de-DE"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Wie hoch die Steuer ist, hängt von vielen verschiedenen Dingen ab. Beispielsweise davon, wie viel anteiliges Grundstück du mit der Wohnung erwirbst, wie alt das Haus ist und welcher Steuersatz in deiner individuellen Situation zum Tragen kommt.</a:t>
          </a:r>
        </a:p>
        <a:p>
          <a:pPr marL="0" marR="0" lvl="0" indent="0" algn="l" defTabSz="914400" eaLnBrk="1" fontAlgn="auto" latinLnBrk="0" hangingPunct="1">
            <a:lnSpc>
              <a:spcPct val="130000"/>
            </a:lnSpc>
            <a:spcBef>
              <a:spcPts val="0"/>
            </a:spcBef>
            <a:spcAft>
              <a:spcPts val="1200"/>
            </a:spcAft>
            <a:buClrTx/>
            <a:buSzTx/>
            <a:buFontTx/>
            <a:buNone/>
            <a:tabLst/>
            <a:defRPr/>
          </a:pPr>
          <a:r>
            <a:rPr kumimoji="0" lang="de-DE"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Wir führen dich jetzt durch ein Vorgehen, mit dem du die Auswirkung der Steuer ohne Hintergrundwissen mit nur wenigen Klicks berechnest. Diese Methode ist zwar vereinfacht, kommt aber dem Ergebnis des Finanzamts in aller Regel sehr nahe. </a:t>
          </a:r>
        </a:p>
      </xdr:txBody>
    </xdr:sp>
    <xdr:clientData/>
  </xdr:twoCellAnchor>
  <xdr:twoCellAnchor>
    <xdr:from>
      <xdr:col>9</xdr:col>
      <xdr:colOff>304800</xdr:colOff>
      <xdr:row>16</xdr:row>
      <xdr:rowOff>171450</xdr:rowOff>
    </xdr:from>
    <xdr:to>
      <xdr:col>11</xdr:col>
      <xdr:colOff>495300</xdr:colOff>
      <xdr:row>18</xdr:row>
      <xdr:rowOff>171450</xdr:rowOff>
    </xdr:to>
    <xdr:sp macro="" textlink="">
      <xdr:nvSpPr>
        <xdr:cNvPr id="48" name="Arrow: Right 47">
          <a:hlinkClick xmlns:r="http://schemas.openxmlformats.org/officeDocument/2006/relationships" r:id="rId3"/>
          <a:extLst>
            <a:ext uri="{FF2B5EF4-FFF2-40B4-BE49-F238E27FC236}">
              <a16:creationId xmlns:a16="http://schemas.microsoft.com/office/drawing/2014/main" id="{1BAF9B31-5E8E-43B0-9865-C99E0CA90B69}"/>
            </a:ext>
          </a:extLst>
        </xdr:cNvPr>
        <xdr:cNvSpPr/>
      </xdr:nvSpPr>
      <xdr:spPr>
        <a:xfrm>
          <a:off x="6534150" y="513397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90000" rtlCol="0" anchor="ctr"/>
        <a:lstStyle/>
        <a:p>
          <a:pPr algn="l"/>
          <a:r>
            <a:rPr lang="de-DE" sz="1050">
              <a:latin typeface="Unit"/>
            </a:rPr>
            <a:t>jetzt Steuer berechnen</a:t>
          </a:r>
        </a:p>
      </xdr:txBody>
    </xdr:sp>
    <xdr:clientData/>
  </xdr:twoCellAnchor>
  <xdr:twoCellAnchor>
    <xdr:from>
      <xdr:col>6</xdr:col>
      <xdr:colOff>352425</xdr:colOff>
      <xdr:row>16</xdr:row>
      <xdr:rowOff>171450</xdr:rowOff>
    </xdr:from>
    <xdr:to>
      <xdr:col>8</xdr:col>
      <xdr:colOff>685800</xdr:colOff>
      <xdr:row>18</xdr:row>
      <xdr:rowOff>171450</xdr:rowOff>
    </xdr:to>
    <xdr:sp macro="" textlink="">
      <xdr:nvSpPr>
        <xdr:cNvPr id="49" name="Arrow: Right 48">
          <a:hlinkClick xmlns:r="http://schemas.openxmlformats.org/officeDocument/2006/relationships" r:id="rId4"/>
          <a:extLst>
            <a:ext uri="{FF2B5EF4-FFF2-40B4-BE49-F238E27FC236}">
              <a16:creationId xmlns:a16="http://schemas.microsoft.com/office/drawing/2014/main" id="{7591A895-2413-4E5F-873C-AAF50AA3D9E2}"/>
            </a:ext>
          </a:extLst>
        </xdr:cNvPr>
        <xdr:cNvSpPr/>
      </xdr:nvSpPr>
      <xdr:spPr>
        <a:xfrm flipH="1">
          <a:off x="4467225" y="513397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4</xdr:col>
      <xdr:colOff>76200</xdr:colOff>
      <xdr:row>0</xdr:row>
      <xdr:rowOff>133350</xdr:rowOff>
    </xdr:from>
    <xdr:to>
      <xdr:col>17</xdr:col>
      <xdr:colOff>257175</xdr:colOff>
      <xdr:row>2</xdr:row>
      <xdr:rowOff>29325</xdr:rowOff>
    </xdr:to>
    <xdr:grpSp>
      <xdr:nvGrpSpPr>
        <xdr:cNvPr id="58" name="Group 57">
          <a:extLst>
            <a:ext uri="{FF2B5EF4-FFF2-40B4-BE49-F238E27FC236}">
              <a16:creationId xmlns:a16="http://schemas.microsoft.com/office/drawing/2014/main" id="{3B9201E1-92F7-414C-9933-1C765AECFD71}"/>
            </a:ext>
          </a:extLst>
        </xdr:cNvPr>
        <xdr:cNvGrpSpPr/>
      </xdr:nvGrpSpPr>
      <xdr:grpSpPr>
        <a:xfrm>
          <a:off x="3365500" y="133350"/>
          <a:ext cx="10937875" cy="238875"/>
          <a:chOff x="2952750" y="137737"/>
          <a:chExt cx="9563100" cy="248400"/>
        </a:xfrm>
      </xdr:grpSpPr>
      <xdr:sp macro="" textlink="">
        <xdr:nvSpPr>
          <xdr:cNvPr id="59" name="Rectangle 58">
            <a:hlinkClick xmlns:r="http://schemas.openxmlformats.org/officeDocument/2006/relationships" r:id="rId5"/>
            <a:extLst>
              <a:ext uri="{FF2B5EF4-FFF2-40B4-BE49-F238E27FC236}">
                <a16:creationId xmlns:a16="http://schemas.microsoft.com/office/drawing/2014/main" id="{CD40D22F-CAEF-4D43-9744-7B6FC17619D1}"/>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60" name="Rectangle 59">
            <a:hlinkClick xmlns:r="http://schemas.openxmlformats.org/officeDocument/2006/relationships" r:id="rId6"/>
            <a:extLst>
              <a:ext uri="{FF2B5EF4-FFF2-40B4-BE49-F238E27FC236}">
                <a16:creationId xmlns:a16="http://schemas.microsoft.com/office/drawing/2014/main" id="{AA3310B0-0341-4588-98D4-E10DEAE5978F}"/>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61" name="Rectangle 60">
            <a:hlinkClick xmlns:r="http://schemas.openxmlformats.org/officeDocument/2006/relationships" r:id="rId7"/>
            <a:extLst>
              <a:ext uri="{FF2B5EF4-FFF2-40B4-BE49-F238E27FC236}">
                <a16:creationId xmlns:a16="http://schemas.microsoft.com/office/drawing/2014/main" id="{AED3E9C4-4F47-4BAB-9789-9505EFACD188}"/>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Finanzierung</a:t>
            </a:r>
          </a:p>
        </xdr:txBody>
      </xdr:sp>
      <xdr:sp macro="" textlink="">
        <xdr:nvSpPr>
          <xdr:cNvPr id="62" name="Rectangle 61">
            <a:hlinkClick xmlns:r="http://schemas.openxmlformats.org/officeDocument/2006/relationships" r:id="rId8"/>
            <a:extLst>
              <a:ext uri="{FF2B5EF4-FFF2-40B4-BE49-F238E27FC236}">
                <a16:creationId xmlns:a16="http://schemas.microsoft.com/office/drawing/2014/main" id="{4C86B807-1CAF-4F8F-9C06-805B74D62D09}"/>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Hausgeld &amp;</a:t>
            </a:r>
            <a:r>
              <a:rPr lang="de-DE" sz="1050" u="none" baseline="0">
                <a:solidFill>
                  <a:schemeClr val="bg1"/>
                </a:solidFill>
                <a:latin typeface="+mn-lt"/>
              </a:rPr>
              <a:t> Rücklagen</a:t>
            </a:r>
            <a:endParaRPr lang="de-DE" sz="1050" u="none">
              <a:solidFill>
                <a:schemeClr val="bg1"/>
              </a:solidFill>
              <a:latin typeface="+mn-lt"/>
            </a:endParaRPr>
          </a:p>
        </xdr:txBody>
      </xdr:sp>
      <xdr:sp macro="" textlink="">
        <xdr:nvSpPr>
          <xdr:cNvPr id="63" name="Rectangle 62">
            <a:hlinkClick xmlns:r="http://schemas.openxmlformats.org/officeDocument/2006/relationships" r:id="rId4"/>
            <a:extLst>
              <a:ext uri="{FF2B5EF4-FFF2-40B4-BE49-F238E27FC236}">
                <a16:creationId xmlns:a16="http://schemas.microsoft.com/office/drawing/2014/main" id="{7AE4E6A5-C5C0-4BDD-AB37-776ECD245222}"/>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Zinsrisiko</a:t>
            </a:r>
          </a:p>
        </xdr:txBody>
      </xdr:sp>
      <xdr:sp macro="" textlink="">
        <xdr:nvSpPr>
          <xdr:cNvPr id="64" name="Rectangle 63">
            <a:hlinkClick xmlns:r="http://schemas.openxmlformats.org/officeDocument/2006/relationships" r:id="rId9"/>
            <a:extLst>
              <a:ext uri="{FF2B5EF4-FFF2-40B4-BE49-F238E27FC236}">
                <a16:creationId xmlns:a16="http://schemas.microsoft.com/office/drawing/2014/main" id="{F158A3E3-F0E3-4A91-A491-8B62B531C555}"/>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u="sng">
                <a:solidFill>
                  <a:schemeClr val="bg1"/>
                </a:solidFill>
                <a:latin typeface="+mn-lt"/>
              </a:rPr>
              <a:t>Steuern</a:t>
            </a:r>
          </a:p>
        </xdr:txBody>
      </xdr:sp>
      <xdr:sp macro="" textlink="">
        <xdr:nvSpPr>
          <xdr:cNvPr id="65" name="Rectangle 64">
            <a:hlinkClick xmlns:r="http://schemas.openxmlformats.org/officeDocument/2006/relationships" r:id="rId10"/>
            <a:extLst>
              <a:ext uri="{FF2B5EF4-FFF2-40B4-BE49-F238E27FC236}">
                <a16:creationId xmlns:a16="http://schemas.microsoft.com/office/drawing/2014/main" id="{AC41AD71-4969-4AB7-9EEC-B807611C2D45}"/>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66" name="Rectangle 65">
            <a:extLst>
              <a:ext uri="{FF2B5EF4-FFF2-40B4-BE49-F238E27FC236}">
                <a16:creationId xmlns:a16="http://schemas.microsoft.com/office/drawing/2014/main" id="{02994387-808A-4CB5-975E-CBB011DD9295}"/>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7" name="Rectangle 66">
            <a:extLst>
              <a:ext uri="{FF2B5EF4-FFF2-40B4-BE49-F238E27FC236}">
                <a16:creationId xmlns:a16="http://schemas.microsoft.com/office/drawing/2014/main" id="{710E5742-9598-4E4B-AE11-C7A46578A256}"/>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8" name="Rectangle 67">
            <a:extLst>
              <a:ext uri="{FF2B5EF4-FFF2-40B4-BE49-F238E27FC236}">
                <a16:creationId xmlns:a16="http://schemas.microsoft.com/office/drawing/2014/main" id="{F0963B48-40F3-45C0-A3A3-2F8721590C7A}"/>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9" name="Rectangle 68">
            <a:extLst>
              <a:ext uri="{FF2B5EF4-FFF2-40B4-BE49-F238E27FC236}">
                <a16:creationId xmlns:a16="http://schemas.microsoft.com/office/drawing/2014/main" id="{F0D2D64B-A19A-4995-85BF-7A81C000FF10}"/>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70" name="Rectangle 69">
            <a:extLst>
              <a:ext uri="{FF2B5EF4-FFF2-40B4-BE49-F238E27FC236}">
                <a16:creationId xmlns:a16="http://schemas.microsoft.com/office/drawing/2014/main" id="{6C033F17-593C-43EE-B77E-E6FCDBB54E16}"/>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71" name="Rectangle 70">
            <a:extLst>
              <a:ext uri="{FF2B5EF4-FFF2-40B4-BE49-F238E27FC236}">
                <a16:creationId xmlns:a16="http://schemas.microsoft.com/office/drawing/2014/main" id="{417028C8-6E44-40D1-863B-EE7E83FF8B68}"/>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72" name="Rectangle 71">
            <a:extLst>
              <a:ext uri="{FF2B5EF4-FFF2-40B4-BE49-F238E27FC236}">
                <a16:creationId xmlns:a16="http://schemas.microsoft.com/office/drawing/2014/main" id="{24870043-330E-4C01-BB0D-533C50339D30}"/>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73" name="Rectangle: Rounded Corners 72">
            <a:hlinkClick xmlns:r="http://schemas.openxmlformats.org/officeDocument/2006/relationships" r:id="rId11"/>
            <a:extLst>
              <a:ext uri="{FF2B5EF4-FFF2-40B4-BE49-F238E27FC236}">
                <a16:creationId xmlns:a16="http://schemas.microsoft.com/office/drawing/2014/main" id="{E8F6EDDB-AC6F-480D-B930-FE897D571E6D}"/>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74" name="Rectangle 73">
            <a:extLst>
              <a:ext uri="{FF2B5EF4-FFF2-40B4-BE49-F238E27FC236}">
                <a16:creationId xmlns:a16="http://schemas.microsoft.com/office/drawing/2014/main" id="{DB159411-DD78-4BF2-8934-BA425318172B}"/>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75" name="Rectangle: Rounded Corners 74">
            <a:hlinkClick xmlns:r="http://schemas.openxmlformats.org/officeDocument/2006/relationships" r:id="rId12"/>
            <a:extLst>
              <a:ext uri="{FF2B5EF4-FFF2-40B4-BE49-F238E27FC236}">
                <a16:creationId xmlns:a16="http://schemas.microsoft.com/office/drawing/2014/main" id="{D30E5967-61BF-4DC3-BD51-A894FCA06DB4}"/>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600075</xdr:colOff>
      <xdr:row>3</xdr:row>
      <xdr:rowOff>142875</xdr:rowOff>
    </xdr:from>
    <xdr:to>
      <xdr:col>17</xdr:col>
      <xdr:colOff>237557</xdr:colOff>
      <xdr:row>5</xdr:row>
      <xdr:rowOff>246460</xdr:rowOff>
    </xdr:to>
    <xdr:grpSp>
      <xdr:nvGrpSpPr>
        <xdr:cNvPr id="40" name="Group 39">
          <a:extLst>
            <a:ext uri="{FF2B5EF4-FFF2-40B4-BE49-F238E27FC236}">
              <a16:creationId xmlns:a16="http://schemas.microsoft.com/office/drawing/2014/main" id="{A2FB0FCB-9893-4242-9B08-06D504757978}"/>
            </a:ext>
          </a:extLst>
        </xdr:cNvPr>
        <xdr:cNvGrpSpPr/>
      </xdr:nvGrpSpPr>
      <xdr:grpSpPr>
        <a:xfrm>
          <a:off x="5311775" y="638175"/>
          <a:ext cx="8971982" cy="560785"/>
          <a:chOff x="4705350" y="652463"/>
          <a:chExt cx="7771832" cy="579835"/>
        </a:xfrm>
      </xdr:grpSpPr>
      <xdr:grpSp>
        <xdr:nvGrpSpPr>
          <xdr:cNvPr id="41" name="Group 40">
            <a:extLst>
              <a:ext uri="{FF2B5EF4-FFF2-40B4-BE49-F238E27FC236}">
                <a16:creationId xmlns:a16="http://schemas.microsoft.com/office/drawing/2014/main" id="{8618D57E-BF48-4D65-81B8-4A4721ABE34C}"/>
              </a:ext>
            </a:extLst>
          </xdr:cNvPr>
          <xdr:cNvGrpSpPr/>
        </xdr:nvGrpSpPr>
        <xdr:grpSpPr>
          <a:xfrm>
            <a:off x="4705350" y="652463"/>
            <a:ext cx="7771832" cy="257175"/>
            <a:chOff x="4705350" y="642938"/>
            <a:chExt cx="7771832" cy="257175"/>
          </a:xfrm>
        </xdr:grpSpPr>
        <xdr:sp macro="" textlink="">
          <xdr:nvSpPr>
            <xdr:cNvPr id="51" name="Rectangle 50">
              <a:extLst>
                <a:ext uri="{FF2B5EF4-FFF2-40B4-BE49-F238E27FC236}">
                  <a16:creationId xmlns:a16="http://schemas.microsoft.com/office/drawing/2014/main" id="{1EA61926-AD19-4BEF-8568-AC7EDA5280A2}"/>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52" name="Rectangle 51">
              <a:extLst>
                <a:ext uri="{FF2B5EF4-FFF2-40B4-BE49-F238E27FC236}">
                  <a16:creationId xmlns:a16="http://schemas.microsoft.com/office/drawing/2014/main" id="{7613F7B5-1B28-4AC0-BAC1-0E0941661EE0}"/>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53" name="Rectangle 52">
              <a:extLst>
                <a:ext uri="{FF2B5EF4-FFF2-40B4-BE49-F238E27FC236}">
                  <a16:creationId xmlns:a16="http://schemas.microsoft.com/office/drawing/2014/main" id="{2C4CD094-85B7-4BA7-9AD8-4BE2B3E18776}"/>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54" name="Rectangle 53">
              <a:extLst>
                <a:ext uri="{FF2B5EF4-FFF2-40B4-BE49-F238E27FC236}">
                  <a16:creationId xmlns:a16="http://schemas.microsoft.com/office/drawing/2014/main" id="{F7E18781-5D6D-4D36-BF1E-B9307D23578A}"/>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7AB7299D-FC9A-43C8-B2A2-738F3154B473}"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55" name="Rectangle 54">
              <a:extLst>
                <a:ext uri="{FF2B5EF4-FFF2-40B4-BE49-F238E27FC236}">
                  <a16:creationId xmlns:a16="http://schemas.microsoft.com/office/drawing/2014/main" id="{32D1246A-A3E1-4982-AF24-26A5A8E2E23F}"/>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EA536E46-F04F-4E4F-AEBB-E75209247E36}"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56" name="Rectangle 55">
              <a:extLst>
                <a:ext uri="{FF2B5EF4-FFF2-40B4-BE49-F238E27FC236}">
                  <a16:creationId xmlns:a16="http://schemas.microsoft.com/office/drawing/2014/main" id="{44733FFF-757A-4813-8BC0-AC6C6A8DE3E1}"/>
                </a:ext>
              </a:extLst>
            </xdr:cNvPr>
            <xdr:cNvSpPr/>
          </xdr:nvSpPr>
          <xdr:spPr>
            <a:xfrm>
              <a:off x="11277600" y="642938"/>
              <a:ext cx="11995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CBF6BBA3-0910-4742-B67E-9FC2797794F7}"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42" name="Group 41">
            <a:extLst>
              <a:ext uri="{FF2B5EF4-FFF2-40B4-BE49-F238E27FC236}">
                <a16:creationId xmlns:a16="http://schemas.microsoft.com/office/drawing/2014/main" id="{963B568F-6F03-453A-A352-4D16AA42AE64}"/>
              </a:ext>
            </a:extLst>
          </xdr:cNvPr>
          <xdr:cNvGrpSpPr/>
        </xdr:nvGrpSpPr>
        <xdr:grpSpPr>
          <a:xfrm>
            <a:off x="4705350" y="975123"/>
            <a:ext cx="7771832" cy="257175"/>
            <a:chOff x="4705350" y="975123"/>
            <a:chExt cx="7771832" cy="257175"/>
          </a:xfrm>
        </xdr:grpSpPr>
        <xdr:sp macro="" textlink="">
          <xdr:nvSpPr>
            <xdr:cNvPr id="43" name="Rectangle 42">
              <a:extLst>
                <a:ext uri="{FF2B5EF4-FFF2-40B4-BE49-F238E27FC236}">
                  <a16:creationId xmlns:a16="http://schemas.microsoft.com/office/drawing/2014/main" id="{E22032BB-3E21-4EFF-9292-2046C2DE7977}"/>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44" name="Rectangle 43">
              <a:extLst>
                <a:ext uri="{FF2B5EF4-FFF2-40B4-BE49-F238E27FC236}">
                  <a16:creationId xmlns:a16="http://schemas.microsoft.com/office/drawing/2014/main" id="{97762741-E4E5-4FB6-ADB6-2D6590D3A552}"/>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45" name="Rectangle 44">
              <a:extLst>
                <a:ext uri="{FF2B5EF4-FFF2-40B4-BE49-F238E27FC236}">
                  <a16:creationId xmlns:a16="http://schemas.microsoft.com/office/drawing/2014/main" id="{AF3338B5-B987-438B-8E6E-20A0F73D6EC9}"/>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46" name="Rectangle 45">
              <a:extLst>
                <a:ext uri="{FF2B5EF4-FFF2-40B4-BE49-F238E27FC236}">
                  <a16:creationId xmlns:a16="http://schemas.microsoft.com/office/drawing/2014/main" id="{9179F40A-B535-467E-B6D8-07196CE9863C}"/>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60659395-63ED-4D10-97BC-E7C49C750296}"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47" name="Rectangle 46">
              <a:extLst>
                <a:ext uri="{FF2B5EF4-FFF2-40B4-BE49-F238E27FC236}">
                  <a16:creationId xmlns:a16="http://schemas.microsoft.com/office/drawing/2014/main" id="{6D31E6FA-5C8B-4E2B-8D90-672FC6DCFE85}"/>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C96AD74D-4CAE-4853-BFD8-2DAC5D62C16F}"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50" name="Rectangle 49">
              <a:extLst>
                <a:ext uri="{FF2B5EF4-FFF2-40B4-BE49-F238E27FC236}">
                  <a16:creationId xmlns:a16="http://schemas.microsoft.com/office/drawing/2014/main" id="{EC0A2225-BBC6-4C25-BC2E-62249D79FCC3}"/>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30723C3D-185D-439B-A60F-F41D63E643A7}"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twoCellAnchor editAs="oneCell">
    <xdr:from>
      <xdr:col>1</xdr:col>
      <xdr:colOff>161925</xdr:colOff>
      <xdr:row>7</xdr:row>
      <xdr:rowOff>104775</xdr:rowOff>
    </xdr:from>
    <xdr:to>
      <xdr:col>2</xdr:col>
      <xdr:colOff>104774</xdr:colOff>
      <xdr:row>8</xdr:row>
      <xdr:rowOff>47902</xdr:rowOff>
    </xdr:to>
    <xdr:pic>
      <xdr:nvPicPr>
        <xdr:cNvPr id="57" name="Picture 56" descr="Warnung, Vorsicht, Anmelden, Symbol">
          <a:extLst>
            <a:ext uri="{FF2B5EF4-FFF2-40B4-BE49-F238E27FC236}">
              <a16:creationId xmlns:a16="http://schemas.microsoft.com/office/drawing/2014/main" id="{3B07E97B-36F7-482C-B3CB-A9E2C7AE2327}"/>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381000" y="1752600"/>
          <a:ext cx="304799" cy="266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1</xdr:col>
      <xdr:colOff>28576</xdr:colOff>
      <xdr:row>13</xdr:row>
      <xdr:rowOff>142875</xdr:rowOff>
    </xdr:from>
    <xdr:to>
      <xdr:col>17</xdr:col>
      <xdr:colOff>200025</xdr:colOff>
      <xdr:row>15</xdr:row>
      <xdr:rowOff>104775</xdr:rowOff>
    </xdr:to>
    <xdr:sp macro="" textlink="">
      <xdr:nvSpPr>
        <xdr:cNvPr id="76" name="Rectangle: Rounded Corners 75">
          <a:hlinkClick xmlns:r="http://schemas.openxmlformats.org/officeDocument/2006/relationships" r:id="rId14"/>
          <a:extLst>
            <a:ext uri="{FF2B5EF4-FFF2-40B4-BE49-F238E27FC236}">
              <a16:creationId xmlns:a16="http://schemas.microsoft.com/office/drawing/2014/main" id="{1A91B961-F335-4BDC-89D5-F27D9C8485AA}"/>
            </a:ext>
          </a:extLst>
        </xdr:cNvPr>
        <xdr:cNvSpPr/>
      </xdr:nvSpPr>
      <xdr:spPr>
        <a:xfrm>
          <a:off x="247651" y="4505325"/>
          <a:ext cx="12201524" cy="371475"/>
        </a:xfrm>
        <a:prstGeom prst="roundRect">
          <a:avLst>
            <a:gd name="adj" fmla="val 12726"/>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ct val="130000"/>
            </a:lnSpc>
          </a:pPr>
          <a:r>
            <a:rPr lang="de-DE" sz="1200">
              <a:solidFill>
                <a:schemeClr val="tx2"/>
              </a:solidFill>
              <a:latin typeface="Century Gothic" panose="020B0502020202020204" pitchFamily="34" charset="0"/>
            </a:rPr>
            <a:t>Eine ausführlichere Erklärung,</a:t>
          </a:r>
          <a:r>
            <a:rPr lang="de-DE" sz="1200" baseline="0">
              <a:solidFill>
                <a:schemeClr val="tx2"/>
              </a:solidFill>
              <a:latin typeface="Century Gothic" panose="020B0502020202020204" pitchFamily="34" charset="0"/>
            </a:rPr>
            <a:t> wie </a:t>
          </a:r>
          <a:r>
            <a:rPr lang="de-DE" sz="1200">
              <a:solidFill>
                <a:schemeClr val="tx2"/>
              </a:solidFill>
              <a:effectLst/>
              <a:latin typeface="Century Gothic" panose="020B0502020202020204" pitchFamily="34" charset="0"/>
              <a:ea typeface="+mn-ea"/>
              <a:cs typeface="+mn-cs"/>
            </a:rPr>
            <a:t>Immobilien-</a:t>
          </a:r>
          <a:r>
            <a:rPr lang="de-DE" sz="1200">
              <a:solidFill>
                <a:schemeClr val="tx2"/>
              </a:solidFill>
              <a:latin typeface="Century Gothic" panose="020B0502020202020204" pitchFamily="34" charset="0"/>
            </a:rPr>
            <a:t>Steuern funktionieren,</a:t>
          </a:r>
          <a:r>
            <a:rPr lang="de-DE" sz="1200" baseline="0">
              <a:solidFill>
                <a:schemeClr val="tx2"/>
              </a:solidFill>
              <a:latin typeface="Century Gothic" panose="020B0502020202020204" pitchFamily="34" charset="0"/>
            </a:rPr>
            <a:t> findest du in </a:t>
          </a:r>
          <a:r>
            <a:rPr lang="de-DE" sz="1200">
              <a:solidFill>
                <a:schemeClr val="tx2"/>
              </a:solidFill>
              <a:latin typeface="Century Gothic" panose="020B0502020202020204" pitchFamily="34" charset="0"/>
            </a:rPr>
            <a:t>unserer Gebrauchsanleitung</a:t>
          </a:r>
          <a:r>
            <a:rPr lang="de-DE" sz="1200" baseline="0">
              <a:solidFill>
                <a:schemeClr val="tx2"/>
              </a:solidFill>
              <a:latin typeface="Century Gothic" panose="020B0502020202020204" pitchFamily="34" charset="0"/>
            </a:rPr>
            <a:t> für den Wohnungskauf. </a:t>
          </a:r>
          <a:r>
            <a:rPr lang="de-DE" sz="1200" u="sng" baseline="0">
              <a:solidFill>
                <a:schemeClr val="tx2"/>
              </a:solidFill>
              <a:latin typeface="Century Gothic" panose="020B0502020202020204" pitchFamily="34" charset="0"/>
            </a:rPr>
            <a:t>Du findest sie hier (zum Buch).</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063C2374-0D8B-45E4-AE5E-3C4AA52234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8A2256DA-09D9-4504-A79F-F0116E3700B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514350</xdr:colOff>
      <xdr:row>15</xdr:row>
      <xdr:rowOff>47625</xdr:rowOff>
    </xdr:from>
    <xdr:to>
      <xdr:col>15</xdr:col>
      <xdr:colOff>704850</xdr:colOff>
      <xdr:row>17</xdr:row>
      <xdr:rowOff>0</xdr:rowOff>
    </xdr:to>
    <xdr:sp macro="" textlink="">
      <xdr:nvSpPr>
        <xdr:cNvPr id="40" name="Arrow: Right 39">
          <a:hlinkClick xmlns:r="http://schemas.openxmlformats.org/officeDocument/2006/relationships" r:id="rId3"/>
          <a:extLst>
            <a:ext uri="{FF2B5EF4-FFF2-40B4-BE49-F238E27FC236}">
              <a16:creationId xmlns:a16="http://schemas.microsoft.com/office/drawing/2014/main" id="{E5378647-0304-464E-81E4-1F7E960DFF05}"/>
            </a:ext>
          </a:extLst>
        </xdr:cNvPr>
        <xdr:cNvSpPr/>
      </xdr:nvSpPr>
      <xdr:spPr>
        <a:xfrm>
          <a:off x="9753600" y="456247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10</xdr:col>
      <xdr:colOff>704850</xdr:colOff>
      <xdr:row>15</xdr:row>
      <xdr:rowOff>47625</xdr:rowOff>
    </xdr:from>
    <xdr:to>
      <xdr:col>13</xdr:col>
      <xdr:colOff>142875</xdr:colOff>
      <xdr:row>17</xdr:row>
      <xdr:rowOff>0</xdr:rowOff>
    </xdr:to>
    <xdr:sp macro="" textlink="">
      <xdr:nvSpPr>
        <xdr:cNvPr id="41" name="Arrow: Right 40">
          <a:hlinkClick xmlns:r="http://schemas.openxmlformats.org/officeDocument/2006/relationships" r:id="rId4"/>
          <a:extLst>
            <a:ext uri="{FF2B5EF4-FFF2-40B4-BE49-F238E27FC236}">
              <a16:creationId xmlns:a16="http://schemas.microsoft.com/office/drawing/2014/main" id="{7A423DD4-D4F5-425A-BC90-1E2DBCC553D0}"/>
            </a:ext>
          </a:extLst>
        </xdr:cNvPr>
        <xdr:cNvSpPr/>
      </xdr:nvSpPr>
      <xdr:spPr>
        <a:xfrm flipH="1">
          <a:off x="7686675" y="456247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9</xdr:col>
      <xdr:colOff>438150</xdr:colOff>
      <xdr:row>7</xdr:row>
      <xdr:rowOff>0</xdr:rowOff>
    </xdr:from>
    <xdr:to>
      <xdr:col>17</xdr:col>
      <xdr:colOff>238125</xdr:colOff>
      <xdr:row>14</xdr:row>
      <xdr:rowOff>38100</xdr:rowOff>
    </xdr:to>
    <xdr:sp macro="" textlink="">
      <xdr:nvSpPr>
        <xdr:cNvPr id="43" name="Rectangle: Rounded Corners 42">
          <a:extLst>
            <a:ext uri="{FF2B5EF4-FFF2-40B4-BE49-F238E27FC236}">
              <a16:creationId xmlns:a16="http://schemas.microsoft.com/office/drawing/2014/main" id="{45BEFF8E-EA7B-420E-9707-5D81F4D26263}"/>
            </a:ext>
          </a:extLst>
        </xdr:cNvPr>
        <xdr:cNvSpPr/>
      </xdr:nvSpPr>
      <xdr:spPr>
        <a:xfrm>
          <a:off x="6667500" y="1647825"/>
          <a:ext cx="5819775" cy="2581275"/>
        </a:xfrm>
        <a:prstGeom prst="roundRect">
          <a:avLst>
            <a:gd name="adj" fmla="val 2217"/>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90000" rtlCol="0" anchor="t"/>
        <a:lstStyle/>
        <a:p>
          <a:pPr marL="0" marR="0" lvl="0" indent="0" algn="l" defTabSz="914400" eaLnBrk="1" fontAlgn="auto" latinLnBrk="0" hangingPunct="1">
            <a:lnSpc>
              <a:spcPct val="130000"/>
            </a:lnSpc>
            <a:spcBef>
              <a:spcPts val="0"/>
            </a:spcBef>
            <a:spcAft>
              <a:spcPts val="1200"/>
            </a:spcAft>
            <a:buClrTx/>
            <a:buSzTx/>
            <a:buFontTx/>
            <a:buNone/>
            <a:tabLst/>
            <a:defRPr/>
          </a:pPr>
          <a:r>
            <a:rPr kumimoji="0" lang="en-US"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Zusammen mit der Wohnung kaufst du immer auch einen </a:t>
          </a:r>
          <a:r>
            <a:rPr kumimoji="0" lang="en-US" sz="1200" b="1"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Teil des Grundstücks</a:t>
          </a:r>
          <a:r>
            <a:rPr kumimoji="0" lang="en-US"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a:t>
          </a:r>
        </a:p>
        <a:p>
          <a:pPr marL="0" marR="0" lvl="0" indent="0" algn="l" defTabSz="914400" eaLnBrk="1" fontAlgn="auto" latinLnBrk="0" hangingPunct="1">
            <a:lnSpc>
              <a:spcPct val="130000"/>
            </a:lnSpc>
            <a:spcBef>
              <a:spcPts val="0"/>
            </a:spcBef>
            <a:spcAft>
              <a:spcPts val="1200"/>
            </a:spcAft>
            <a:buClrTx/>
            <a:buSzTx/>
            <a:buFontTx/>
            <a:buNone/>
            <a:tabLst/>
            <a:defRPr/>
          </a:pPr>
          <a:r>
            <a:rPr kumimoji="0" lang="en-US"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Im Gegensatz zu einem Gebäude nutzt sich ein Grundstück im Laufe der Zeit nicht ab. Du kannst es deshalb steuerlich nicht abschreiben.</a:t>
          </a:r>
        </a:p>
        <a:p>
          <a:pPr marL="0" marR="0" lvl="0" indent="0" algn="l" defTabSz="914400" eaLnBrk="1" fontAlgn="auto" latinLnBrk="0" hangingPunct="1">
            <a:lnSpc>
              <a:spcPct val="130000"/>
            </a:lnSpc>
            <a:spcBef>
              <a:spcPts val="0"/>
            </a:spcBef>
            <a:spcAft>
              <a:spcPts val="1200"/>
            </a:spcAft>
            <a:buClrTx/>
            <a:buSzTx/>
            <a:buFontTx/>
            <a:buNone/>
            <a:tabLst/>
            <a:defRPr/>
          </a:pPr>
          <a:r>
            <a:rPr kumimoji="0" lang="en-US"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Wie viel Grund und Boden du mit der Wohnung erwirbst, hat deshalb einen wichtigen </a:t>
          </a:r>
          <a:r>
            <a:rPr kumimoji="0" lang="en-US" sz="1200" b="1"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Einfluss auf die Steuer</a:t>
          </a:r>
          <a:r>
            <a:rPr kumimoji="0" lang="en-US"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a:t>
          </a:r>
        </a:p>
        <a:p>
          <a:pPr marL="0" marR="0" lvl="0" indent="0" algn="l" defTabSz="914400" eaLnBrk="1" fontAlgn="auto" latinLnBrk="0" hangingPunct="1">
            <a:lnSpc>
              <a:spcPct val="130000"/>
            </a:lnSpc>
            <a:spcBef>
              <a:spcPts val="0"/>
            </a:spcBef>
            <a:spcAft>
              <a:spcPts val="1200"/>
            </a:spcAft>
            <a:buClrTx/>
            <a:buSzTx/>
            <a:buFontTx/>
            <a:buNone/>
            <a:tabLst/>
            <a:defRPr/>
          </a:pPr>
          <a:r>
            <a:rPr kumimoji="0" lang="en-US"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Bitte wähle aus, wie viel Grund und Boden zu deiner Wohnung gehört. Du kannst dich dafür an den drei Gebäude-Typen orientieren.</a:t>
          </a:r>
        </a:p>
      </xdr:txBody>
    </xdr:sp>
    <xdr:clientData/>
  </xdr:twoCellAnchor>
  <xdr:twoCellAnchor editAs="absolute">
    <xdr:from>
      <xdr:col>1</xdr:col>
      <xdr:colOff>57150</xdr:colOff>
      <xdr:row>10</xdr:row>
      <xdr:rowOff>389514</xdr:rowOff>
    </xdr:from>
    <xdr:to>
      <xdr:col>8</xdr:col>
      <xdr:colOff>751050</xdr:colOff>
      <xdr:row>17</xdr:row>
      <xdr:rowOff>114300</xdr:rowOff>
    </xdr:to>
    <xdr:grpSp>
      <xdr:nvGrpSpPr>
        <xdr:cNvPr id="58" name="Group 57">
          <a:extLst>
            <a:ext uri="{FF2B5EF4-FFF2-40B4-BE49-F238E27FC236}">
              <a16:creationId xmlns:a16="http://schemas.microsoft.com/office/drawing/2014/main" id="{02CCA351-D649-4EAD-B931-87B7935B458F}"/>
            </a:ext>
          </a:extLst>
        </xdr:cNvPr>
        <xdr:cNvGrpSpPr/>
      </xdr:nvGrpSpPr>
      <xdr:grpSpPr>
        <a:xfrm>
          <a:off x="311150" y="2827914"/>
          <a:ext cx="6713700" cy="2099686"/>
          <a:chOff x="276225" y="2875539"/>
          <a:chExt cx="5951700" cy="2153661"/>
        </a:xfrm>
      </xdr:grpSpPr>
      <xdr:pic>
        <xdr:nvPicPr>
          <xdr:cNvPr id="44" name="Picture 43" descr="Hochhäuser, Architektur, Fassade, Gebäude, Bauweise">
            <a:extLst>
              <a:ext uri="{FF2B5EF4-FFF2-40B4-BE49-F238E27FC236}">
                <a16:creationId xmlns:a16="http://schemas.microsoft.com/office/drawing/2014/main" id="{40ECAFBE-27FC-451D-9778-3B53B801536A}"/>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3" t="21406" r="47561"/>
          <a:stretch/>
        </xdr:blipFill>
        <xdr:spPr bwMode="auto">
          <a:xfrm>
            <a:off x="276225" y="2875540"/>
            <a:ext cx="1494000" cy="1492825"/>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5" name="Picture 44" title="Bitte oben auswählen">
            <a:extLst>
              <a:ext uri="{FF2B5EF4-FFF2-40B4-BE49-F238E27FC236}">
                <a16:creationId xmlns:a16="http://schemas.microsoft.com/office/drawing/2014/main" id="{C548D8F9-0B4E-42D7-9DAE-03B9A17F5A5F}"/>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l="33201"/>
          <a:stretch/>
        </xdr:blipFill>
        <xdr:spPr bwMode="auto">
          <a:xfrm>
            <a:off x="4733925" y="2875539"/>
            <a:ext cx="1494000" cy="1491044"/>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6" name="Picture 45" descr="Goethehaus, Weimar, Thüringen, Deutschland, Altstadt">
            <a:extLst>
              <a:ext uri="{FF2B5EF4-FFF2-40B4-BE49-F238E27FC236}">
                <a16:creationId xmlns:a16="http://schemas.microsoft.com/office/drawing/2014/main" id="{8F196D76-67A4-4417-B221-049D6BCF3B8E}"/>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31826" t="20625" r="30317" b="22500"/>
          <a:stretch/>
        </xdr:blipFill>
        <xdr:spPr bwMode="auto">
          <a:xfrm>
            <a:off x="2524125" y="2875539"/>
            <a:ext cx="1494000" cy="149400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48" name="Rectangle 47">
            <a:extLst>
              <a:ext uri="{FF2B5EF4-FFF2-40B4-BE49-F238E27FC236}">
                <a16:creationId xmlns:a16="http://schemas.microsoft.com/office/drawing/2014/main" id="{4939D897-9CFF-47F2-A618-7E13EEAC6437}"/>
              </a:ext>
            </a:extLst>
          </xdr:cNvPr>
          <xdr:cNvSpPr/>
        </xdr:nvSpPr>
        <xdr:spPr>
          <a:xfrm>
            <a:off x="276225" y="4410073"/>
            <a:ext cx="1494000" cy="619127"/>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rIns="0" rtlCol="0" anchor="t"/>
          <a:lstStyle/>
          <a:p>
            <a:pPr algn="ctr">
              <a:lnSpc>
                <a:spcPct val="130000"/>
              </a:lnSpc>
            </a:pPr>
            <a:r>
              <a:rPr lang="en-US" sz="1200">
                <a:solidFill>
                  <a:schemeClr val="tx2"/>
                </a:solidFill>
                <a:latin typeface="Century Gothic" panose="020B0502020202020204" pitchFamily="34" charset="0"/>
              </a:rPr>
              <a:t>Viele Stockwerke,</a:t>
            </a:r>
            <a:r>
              <a:rPr lang="en-US" sz="1200" baseline="0">
                <a:solidFill>
                  <a:schemeClr val="tx2"/>
                </a:solidFill>
                <a:latin typeface="Century Gothic" panose="020B0502020202020204" pitchFamily="34" charset="0"/>
              </a:rPr>
              <a:t> kleines Grundstück</a:t>
            </a:r>
            <a:endParaRPr lang="en-US" sz="1200">
              <a:solidFill>
                <a:schemeClr val="tx2"/>
              </a:solidFill>
              <a:latin typeface="Century Gothic" panose="020B0502020202020204" pitchFamily="34" charset="0"/>
            </a:endParaRPr>
          </a:p>
        </xdr:txBody>
      </xdr:sp>
      <xdr:sp macro="" textlink="">
        <xdr:nvSpPr>
          <xdr:cNvPr id="49" name="Rectangle 48">
            <a:extLst>
              <a:ext uri="{FF2B5EF4-FFF2-40B4-BE49-F238E27FC236}">
                <a16:creationId xmlns:a16="http://schemas.microsoft.com/office/drawing/2014/main" id="{28592F80-93F9-4C81-8697-133BB1B0D702}"/>
              </a:ext>
            </a:extLst>
          </xdr:cNvPr>
          <xdr:cNvSpPr/>
        </xdr:nvSpPr>
        <xdr:spPr>
          <a:xfrm>
            <a:off x="2524125" y="4410073"/>
            <a:ext cx="1494000" cy="619127"/>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rIns="0" rtlCol="0" anchor="t"/>
          <a:lstStyle/>
          <a:p>
            <a:pPr algn="ctr">
              <a:lnSpc>
                <a:spcPct val="130000"/>
              </a:lnSpc>
            </a:pPr>
            <a:r>
              <a:rPr lang="en-US" sz="1200">
                <a:solidFill>
                  <a:schemeClr val="tx2"/>
                </a:solidFill>
                <a:latin typeface="Century Gothic" panose="020B0502020202020204" pitchFamily="34" charset="0"/>
              </a:rPr>
              <a:t>Normales</a:t>
            </a:r>
            <a:r>
              <a:rPr lang="en-US" sz="1200" baseline="0">
                <a:solidFill>
                  <a:schemeClr val="tx2"/>
                </a:solidFill>
                <a:latin typeface="Century Gothic" panose="020B0502020202020204" pitchFamily="34" charset="0"/>
              </a:rPr>
              <a:t> Haus in der Stadt</a:t>
            </a:r>
            <a:endParaRPr lang="en-US" sz="1200">
              <a:solidFill>
                <a:schemeClr val="tx2"/>
              </a:solidFill>
              <a:latin typeface="Century Gothic" panose="020B0502020202020204" pitchFamily="34" charset="0"/>
            </a:endParaRPr>
          </a:p>
        </xdr:txBody>
      </xdr:sp>
      <xdr:sp macro="" textlink="">
        <xdr:nvSpPr>
          <xdr:cNvPr id="50" name="Rectangle 49">
            <a:extLst>
              <a:ext uri="{FF2B5EF4-FFF2-40B4-BE49-F238E27FC236}">
                <a16:creationId xmlns:a16="http://schemas.microsoft.com/office/drawing/2014/main" id="{46B2D4E2-C3AB-48FC-BBC0-75DC09FC9373}"/>
              </a:ext>
            </a:extLst>
          </xdr:cNvPr>
          <xdr:cNvSpPr/>
        </xdr:nvSpPr>
        <xdr:spPr>
          <a:xfrm>
            <a:off x="4733925" y="4410073"/>
            <a:ext cx="1494000" cy="619127"/>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rIns="0" rtlCol="0" anchor="t"/>
          <a:lstStyle/>
          <a:p>
            <a:pPr algn="ctr">
              <a:lnSpc>
                <a:spcPct val="130000"/>
              </a:lnSpc>
            </a:pPr>
            <a:r>
              <a:rPr lang="en-US" sz="1200">
                <a:solidFill>
                  <a:schemeClr val="tx2"/>
                </a:solidFill>
                <a:latin typeface="Century Gothic" panose="020B0502020202020204" pitchFamily="34" charset="0"/>
              </a:rPr>
              <a:t>1-2 Stockwerke,</a:t>
            </a:r>
            <a:r>
              <a:rPr lang="en-US" sz="1200" baseline="0">
                <a:solidFill>
                  <a:schemeClr val="tx2"/>
                </a:solidFill>
                <a:latin typeface="Century Gothic" panose="020B0502020202020204" pitchFamily="34" charset="0"/>
              </a:rPr>
              <a:t> großes Grundstück</a:t>
            </a:r>
            <a:endParaRPr lang="en-US" sz="1200">
              <a:solidFill>
                <a:schemeClr val="tx2"/>
              </a:solidFill>
              <a:latin typeface="Century Gothic" panose="020B0502020202020204" pitchFamily="34" charset="0"/>
            </a:endParaRPr>
          </a:p>
        </xdr:txBody>
      </xdr:sp>
    </xdr:grpSp>
    <xdr:clientData/>
  </xdr:twoCellAnchor>
  <xdr:twoCellAnchor>
    <xdr:from>
      <xdr:col>1</xdr:col>
      <xdr:colOff>57150</xdr:colOff>
      <xdr:row>9</xdr:row>
      <xdr:rowOff>323849</xdr:rowOff>
    </xdr:from>
    <xdr:to>
      <xdr:col>2</xdr:col>
      <xdr:colOff>1189200</xdr:colOff>
      <xdr:row>10</xdr:row>
      <xdr:rowOff>323851</xdr:rowOff>
    </xdr:to>
    <xdr:sp macro="" textlink="">
      <xdr:nvSpPr>
        <xdr:cNvPr id="52" name="Rectangle 51">
          <a:extLst>
            <a:ext uri="{FF2B5EF4-FFF2-40B4-BE49-F238E27FC236}">
              <a16:creationId xmlns:a16="http://schemas.microsoft.com/office/drawing/2014/main" id="{0542030F-B823-416B-8BB8-CF4E4A26F42A}"/>
            </a:ext>
          </a:extLst>
        </xdr:cNvPr>
        <xdr:cNvSpPr/>
      </xdr:nvSpPr>
      <xdr:spPr>
        <a:xfrm>
          <a:off x="276225" y="2514599"/>
          <a:ext cx="1494000" cy="323852"/>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rIns="0" rtlCol="0" anchor="t"/>
        <a:lstStyle/>
        <a:p>
          <a:pPr algn="ctr">
            <a:lnSpc>
              <a:spcPct val="130000"/>
            </a:lnSpc>
          </a:pPr>
          <a:r>
            <a:rPr lang="en-US" sz="1200">
              <a:solidFill>
                <a:schemeClr val="tx2"/>
              </a:solidFill>
              <a:latin typeface="Century Gothic" panose="020B0502020202020204" pitchFamily="34" charset="0"/>
            </a:rPr>
            <a:t>Besonders wenig</a:t>
          </a:r>
        </a:p>
      </xdr:txBody>
    </xdr:sp>
    <xdr:clientData/>
  </xdr:twoCellAnchor>
  <xdr:twoCellAnchor>
    <xdr:from>
      <xdr:col>3</xdr:col>
      <xdr:colOff>581025</xdr:colOff>
      <xdr:row>9</xdr:row>
      <xdr:rowOff>323849</xdr:rowOff>
    </xdr:from>
    <xdr:to>
      <xdr:col>5</xdr:col>
      <xdr:colOff>46200</xdr:colOff>
      <xdr:row>10</xdr:row>
      <xdr:rowOff>323851</xdr:rowOff>
    </xdr:to>
    <xdr:sp macro="" textlink="">
      <xdr:nvSpPr>
        <xdr:cNvPr id="53" name="Rectangle 52">
          <a:extLst>
            <a:ext uri="{FF2B5EF4-FFF2-40B4-BE49-F238E27FC236}">
              <a16:creationId xmlns:a16="http://schemas.microsoft.com/office/drawing/2014/main" id="{74EBA391-622E-4D83-AFFA-CE8BB86740BF}"/>
            </a:ext>
          </a:extLst>
        </xdr:cNvPr>
        <xdr:cNvSpPr/>
      </xdr:nvSpPr>
      <xdr:spPr>
        <a:xfrm>
          <a:off x="2524125" y="2514599"/>
          <a:ext cx="1494000" cy="323852"/>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rIns="0" rtlCol="0" anchor="t"/>
        <a:lstStyle/>
        <a:p>
          <a:pPr algn="ctr">
            <a:lnSpc>
              <a:spcPct val="130000"/>
            </a:lnSpc>
          </a:pPr>
          <a:r>
            <a:rPr lang="en-US" sz="1200">
              <a:solidFill>
                <a:schemeClr val="tx2"/>
              </a:solidFill>
              <a:latin typeface="Century Gothic" panose="020B0502020202020204" pitchFamily="34" charset="0"/>
            </a:rPr>
            <a:t>Ganz normal</a:t>
          </a:r>
        </a:p>
      </xdr:txBody>
    </xdr:sp>
    <xdr:clientData/>
  </xdr:twoCellAnchor>
  <xdr:twoCellAnchor>
    <xdr:from>
      <xdr:col>7</xdr:col>
      <xdr:colOff>9525</xdr:colOff>
      <xdr:row>9</xdr:row>
      <xdr:rowOff>323849</xdr:rowOff>
    </xdr:from>
    <xdr:to>
      <xdr:col>8</xdr:col>
      <xdr:colOff>751050</xdr:colOff>
      <xdr:row>10</xdr:row>
      <xdr:rowOff>323851</xdr:rowOff>
    </xdr:to>
    <xdr:sp macro="" textlink="">
      <xdr:nvSpPr>
        <xdr:cNvPr id="54" name="Rectangle 53">
          <a:extLst>
            <a:ext uri="{FF2B5EF4-FFF2-40B4-BE49-F238E27FC236}">
              <a16:creationId xmlns:a16="http://schemas.microsoft.com/office/drawing/2014/main" id="{0F33543D-CDA3-497E-A292-414C73E3566A}"/>
            </a:ext>
          </a:extLst>
        </xdr:cNvPr>
        <xdr:cNvSpPr/>
      </xdr:nvSpPr>
      <xdr:spPr>
        <a:xfrm>
          <a:off x="4733925" y="2514599"/>
          <a:ext cx="1494000" cy="323852"/>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rIns="0" rtlCol="0" anchor="t"/>
        <a:lstStyle/>
        <a:p>
          <a:pPr algn="ctr">
            <a:lnSpc>
              <a:spcPct val="130000"/>
            </a:lnSpc>
          </a:pPr>
          <a:r>
            <a:rPr lang="en-US" sz="1200">
              <a:solidFill>
                <a:schemeClr val="tx2"/>
              </a:solidFill>
              <a:latin typeface="Century Gothic" panose="020B0502020202020204" pitchFamily="34" charset="0"/>
            </a:rPr>
            <a:t>Besonders viel</a:t>
          </a:r>
        </a:p>
      </xdr:txBody>
    </xdr:sp>
    <xdr:clientData/>
  </xdr:twoCellAnchor>
  <xdr:twoCellAnchor>
    <xdr:from>
      <xdr:col>6</xdr:col>
      <xdr:colOff>295275</xdr:colOff>
      <xdr:row>7</xdr:row>
      <xdr:rowOff>57150</xdr:rowOff>
    </xdr:from>
    <xdr:to>
      <xdr:col>6</xdr:col>
      <xdr:colOff>485775</xdr:colOff>
      <xdr:row>7</xdr:row>
      <xdr:rowOff>266700</xdr:rowOff>
    </xdr:to>
    <xdr:sp macro="" textlink="">
      <xdr:nvSpPr>
        <xdr:cNvPr id="57" name="Arrow: Down 56">
          <a:extLst>
            <a:ext uri="{FF2B5EF4-FFF2-40B4-BE49-F238E27FC236}">
              <a16:creationId xmlns:a16="http://schemas.microsoft.com/office/drawing/2014/main" id="{E2E745D9-3739-44F4-ADDE-25D8B7D45830}"/>
            </a:ext>
          </a:extLst>
        </xdr:cNvPr>
        <xdr:cNvSpPr/>
      </xdr:nvSpPr>
      <xdr:spPr>
        <a:xfrm rot="16200000">
          <a:off x="4400550" y="1714500"/>
          <a:ext cx="209550" cy="190500"/>
        </a:xfrm>
        <a:prstGeom prst="downArrow">
          <a:avLst/>
        </a:prstGeom>
        <a:solidFill>
          <a:schemeClr val="bg1"/>
        </a:solidFill>
        <a:ln>
          <a:solidFill>
            <a:schemeClr val="tx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4</xdr:col>
      <xdr:colOff>76200</xdr:colOff>
      <xdr:row>0</xdr:row>
      <xdr:rowOff>133350</xdr:rowOff>
    </xdr:from>
    <xdr:to>
      <xdr:col>17</xdr:col>
      <xdr:colOff>257175</xdr:colOff>
      <xdr:row>2</xdr:row>
      <xdr:rowOff>29325</xdr:rowOff>
    </xdr:to>
    <xdr:grpSp>
      <xdr:nvGrpSpPr>
        <xdr:cNvPr id="51" name="Group 50">
          <a:extLst>
            <a:ext uri="{FF2B5EF4-FFF2-40B4-BE49-F238E27FC236}">
              <a16:creationId xmlns:a16="http://schemas.microsoft.com/office/drawing/2014/main" id="{8B8B4259-6616-4F7A-B40C-4D5A93F47A48}"/>
            </a:ext>
          </a:extLst>
        </xdr:cNvPr>
        <xdr:cNvGrpSpPr/>
      </xdr:nvGrpSpPr>
      <xdr:grpSpPr>
        <a:xfrm>
          <a:off x="3365500" y="133350"/>
          <a:ext cx="10937875" cy="238875"/>
          <a:chOff x="2952750" y="137737"/>
          <a:chExt cx="9563100" cy="248400"/>
        </a:xfrm>
      </xdr:grpSpPr>
      <xdr:sp macro="" textlink="">
        <xdr:nvSpPr>
          <xdr:cNvPr id="59" name="Rectangle 58">
            <a:hlinkClick xmlns:r="http://schemas.openxmlformats.org/officeDocument/2006/relationships" r:id="rId8"/>
            <a:extLst>
              <a:ext uri="{FF2B5EF4-FFF2-40B4-BE49-F238E27FC236}">
                <a16:creationId xmlns:a16="http://schemas.microsoft.com/office/drawing/2014/main" id="{E42B94F9-77AE-48C9-82BB-73EF876BD737}"/>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60" name="Rectangle 59">
            <a:hlinkClick xmlns:r="http://schemas.openxmlformats.org/officeDocument/2006/relationships" r:id="rId9"/>
            <a:extLst>
              <a:ext uri="{FF2B5EF4-FFF2-40B4-BE49-F238E27FC236}">
                <a16:creationId xmlns:a16="http://schemas.microsoft.com/office/drawing/2014/main" id="{A736416C-2D0B-482F-B704-DB929EBBD5B5}"/>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61" name="Rectangle 60">
            <a:hlinkClick xmlns:r="http://schemas.openxmlformats.org/officeDocument/2006/relationships" r:id="rId10"/>
            <a:extLst>
              <a:ext uri="{FF2B5EF4-FFF2-40B4-BE49-F238E27FC236}">
                <a16:creationId xmlns:a16="http://schemas.microsoft.com/office/drawing/2014/main" id="{B5AF8A3E-7027-4C71-872F-A2BFD3CD35AE}"/>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Finanzierung</a:t>
            </a:r>
          </a:p>
        </xdr:txBody>
      </xdr:sp>
      <xdr:sp macro="" textlink="">
        <xdr:nvSpPr>
          <xdr:cNvPr id="62" name="Rectangle 61">
            <a:hlinkClick xmlns:r="http://schemas.openxmlformats.org/officeDocument/2006/relationships" r:id="rId11"/>
            <a:extLst>
              <a:ext uri="{FF2B5EF4-FFF2-40B4-BE49-F238E27FC236}">
                <a16:creationId xmlns:a16="http://schemas.microsoft.com/office/drawing/2014/main" id="{B21BA149-2634-4732-8ADF-C8AD1EA81A19}"/>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Hausgeld &amp;</a:t>
            </a:r>
            <a:r>
              <a:rPr lang="de-DE" sz="1050" u="none" baseline="0">
                <a:solidFill>
                  <a:schemeClr val="bg1"/>
                </a:solidFill>
                <a:latin typeface="+mn-lt"/>
              </a:rPr>
              <a:t> Rücklagen</a:t>
            </a:r>
            <a:endParaRPr lang="de-DE" sz="1050" u="none">
              <a:solidFill>
                <a:schemeClr val="bg1"/>
              </a:solidFill>
              <a:latin typeface="+mn-lt"/>
            </a:endParaRPr>
          </a:p>
        </xdr:txBody>
      </xdr:sp>
      <xdr:sp macro="" textlink="">
        <xdr:nvSpPr>
          <xdr:cNvPr id="63" name="Rectangle 62">
            <a:hlinkClick xmlns:r="http://schemas.openxmlformats.org/officeDocument/2006/relationships" r:id="rId12"/>
            <a:extLst>
              <a:ext uri="{FF2B5EF4-FFF2-40B4-BE49-F238E27FC236}">
                <a16:creationId xmlns:a16="http://schemas.microsoft.com/office/drawing/2014/main" id="{EB637EE1-21C6-45A8-BEFB-6F236E26DBA2}"/>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Zinsrisiko</a:t>
            </a:r>
          </a:p>
        </xdr:txBody>
      </xdr:sp>
      <xdr:sp macro="" textlink="">
        <xdr:nvSpPr>
          <xdr:cNvPr id="64" name="Rectangle 63">
            <a:hlinkClick xmlns:r="http://schemas.openxmlformats.org/officeDocument/2006/relationships" r:id="rId4"/>
            <a:extLst>
              <a:ext uri="{FF2B5EF4-FFF2-40B4-BE49-F238E27FC236}">
                <a16:creationId xmlns:a16="http://schemas.microsoft.com/office/drawing/2014/main" id="{DAE23BDF-AE7B-4442-8622-02938B969030}"/>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u="sng">
                <a:solidFill>
                  <a:schemeClr val="bg1"/>
                </a:solidFill>
                <a:latin typeface="+mn-lt"/>
              </a:rPr>
              <a:t>Steuern</a:t>
            </a:r>
          </a:p>
        </xdr:txBody>
      </xdr:sp>
      <xdr:sp macro="" textlink="">
        <xdr:nvSpPr>
          <xdr:cNvPr id="65" name="Rectangle 64">
            <a:hlinkClick xmlns:r="http://schemas.openxmlformats.org/officeDocument/2006/relationships" r:id="rId13"/>
            <a:extLst>
              <a:ext uri="{FF2B5EF4-FFF2-40B4-BE49-F238E27FC236}">
                <a16:creationId xmlns:a16="http://schemas.microsoft.com/office/drawing/2014/main" id="{B61A0459-ABBC-4DCF-A699-65E62B8DDD42}"/>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66" name="Rectangle 65">
            <a:extLst>
              <a:ext uri="{FF2B5EF4-FFF2-40B4-BE49-F238E27FC236}">
                <a16:creationId xmlns:a16="http://schemas.microsoft.com/office/drawing/2014/main" id="{A07FA9AF-BD5C-4D14-91F0-FF30ACF333AF}"/>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7" name="Rectangle 66">
            <a:extLst>
              <a:ext uri="{FF2B5EF4-FFF2-40B4-BE49-F238E27FC236}">
                <a16:creationId xmlns:a16="http://schemas.microsoft.com/office/drawing/2014/main" id="{68752B64-7485-4675-9101-3D3884BED29A}"/>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8" name="Rectangle 67">
            <a:extLst>
              <a:ext uri="{FF2B5EF4-FFF2-40B4-BE49-F238E27FC236}">
                <a16:creationId xmlns:a16="http://schemas.microsoft.com/office/drawing/2014/main" id="{A8180E51-7B38-4CB7-A6DE-779BA57D2EE3}"/>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9" name="Rectangle 68">
            <a:extLst>
              <a:ext uri="{FF2B5EF4-FFF2-40B4-BE49-F238E27FC236}">
                <a16:creationId xmlns:a16="http://schemas.microsoft.com/office/drawing/2014/main" id="{3F7EABC8-6267-41B7-A01D-ED036B777C55}"/>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70" name="Rectangle 69">
            <a:extLst>
              <a:ext uri="{FF2B5EF4-FFF2-40B4-BE49-F238E27FC236}">
                <a16:creationId xmlns:a16="http://schemas.microsoft.com/office/drawing/2014/main" id="{E602AB86-39B0-4002-9B2F-8E96B42CCFE5}"/>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71" name="Rectangle 70">
            <a:extLst>
              <a:ext uri="{FF2B5EF4-FFF2-40B4-BE49-F238E27FC236}">
                <a16:creationId xmlns:a16="http://schemas.microsoft.com/office/drawing/2014/main" id="{8F46C2C9-9DC6-422C-8965-9B9FEEDBC195}"/>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72" name="Rectangle 71">
            <a:extLst>
              <a:ext uri="{FF2B5EF4-FFF2-40B4-BE49-F238E27FC236}">
                <a16:creationId xmlns:a16="http://schemas.microsoft.com/office/drawing/2014/main" id="{2CE756A4-3793-403E-AABC-39A2C2EFC851}"/>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73" name="Rectangle: Rounded Corners 72">
            <a:hlinkClick xmlns:r="http://schemas.openxmlformats.org/officeDocument/2006/relationships" r:id="rId14"/>
            <a:extLst>
              <a:ext uri="{FF2B5EF4-FFF2-40B4-BE49-F238E27FC236}">
                <a16:creationId xmlns:a16="http://schemas.microsoft.com/office/drawing/2014/main" id="{D6478535-E145-4735-BE7B-C42F6C0E0233}"/>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74" name="Rectangle 73">
            <a:extLst>
              <a:ext uri="{FF2B5EF4-FFF2-40B4-BE49-F238E27FC236}">
                <a16:creationId xmlns:a16="http://schemas.microsoft.com/office/drawing/2014/main" id="{8B19F4CE-0FD6-43E7-89ED-E3C3FC94793D}"/>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75" name="Rectangle: Rounded Corners 74">
            <a:hlinkClick xmlns:r="http://schemas.openxmlformats.org/officeDocument/2006/relationships" r:id="rId15"/>
            <a:extLst>
              <a:ext uri="{FF2B5EF4-FFF2-40B4-BE49-F238E27FC236}">
                <a16:creationId xmlns:a16="http://schemas.microsoft.com/office/drawing/2014/main" id="{F1914D0D-073E-4C55-B17F-4C92666505C2}"/>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600075</xdr:colOff>
      <xdr:row>3</xdr:row>
      <xdr:rowOff>142875</xdr:rowOff>
    </xdr:from>
    <xdr:to>
      <xdr:col>17</xdr:col>
      <xdr:colOff>237557</xdr:colOff>
      <xdr:row>5</xdr:row>
      <xdr:rowOff>246460</xdr:rowOff>
    </xdr:to>
    <xdr:grpSp>
      <xdr:nvGrpSpPr>
        <xdr:cNvPr id="76" name="Group 75">
          <a:extLst>
            <a:ext uri="{FF2B5EF4-FFF2-40B4-BE49-F238E27FC236}">
              <a16:creationId xmlns:a16="http://schemas.microsoft.com/office/drawing/2014/main" id="{E5891DC2-EC0D-4109-AF95-8657CB7F1710}"/>
            </a:ext>
          </a:extLst>
        </xdr:cNvPr>
        <xdr:cNvGrpSpPr/>
      </xdr:nvGrpSpPr>
      <xdr:grpSpPr>
        <a:xfrm>
          <a:off x="5311775" y="638175"/>
          <a:ext cx="8971982" cy="560785"/>
          <a:chOff x="4705350" y="652463"/>
          <a:chExt cx="7771832" cy="579835"/>
        </a:xfrm>
      </xdr:grpSpPr>
      <xdr:grpSp>
        <xdr:nvGrpSpPr>
          <xdr:cNvPr id="77" name="Group 76">
            <a:extLst>
              <a:ext uri="{FF2B5EF4-FFF2-40B4-BE49-F238E27FC236}">
                <a16:creationId xmlns:a16="http://schemas.microsoft.com/office/drawing/2014/main" id="{CF22CB87-54F9-459A-B1A9-00C85C2F3625}"/>
              </a:ext>
            </a:extLst>
          </xdr:cNvPr>
          <xdr:cNvGrpSpPr/>
        </xdr:nvGrpSpPr>
        <xdr:grpSpPr>
          <a:xfrm>
            <a:off x="4705350" y="652463"/>
            <a:ext cx="7771832" cy="257175"/>
            <a:chOff x="4705350" y="642938"/>
            <a:chExt cx="7771832" cy="257175"/>
          </a:xfrm>
        </xdr:grpSpPr>
        <xdr:sp macro="" textlink="">
          <xdr:nvSpPr>
            <xdr:cNvPr id="85" name="Rectangle 84">
              <a:extLst>
                <a:ext uri="{FF2B5EF4-FFF2-40B4-BE49-F238E27FC236}">
                  <a16:creationId xmlns:a16="http://schemas.microsoft.com/office/drawing/2014/main" id="{68C59D24-5D9A-42EA-B9AB-23AB0F2BDB2A}"/>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86" name="Rectangle 85">
              <a:extLst>
                <a:ext uri="{FF2B5EF4-FFF2-40B4-BE49-F238E27FC236}">
                  <a16:creationId xmlns:a16="http://schemas.microsoft.com/office/drawing/2014/main" id="{4F532144-3D4F-4F64-88DC-9656412B1BA1}"/>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87" name="Rectangle 86">
              <a:extLst>
                <a:ext uri="{FF2B5EF4-FFF2-40B4-BE49-F238E27FC236}">
                  <a16:creationId xmlns:a16="http://schemas.microsoft.com/office/drawing/2014/main" id="{0C105096-73E3-4F27-9338-00218BEB0643}"/>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88" name="Rectangle 87">
              <a:extLst>
                <a:ext uri="{FF2B5EF4-FFF2-40B4-BE49-F238E27FC236}">
                  <a16:creationId xmlns:a16="http://schemas.microsoft.com/office/drawing/2014/main" id="{0063B48D-EE2F-4A58-849F-C8C38F25287C}"/>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048A5559-43F6-4883-9E10-B8A92A242627}"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89" name="Rectangle 88">
              <a:extLst>
                <a:ext uri="{FF2B5EF4-FFF2-40B4-BE49-F238E27FC236}">
                  <a16:creationId xmlns:a16="http://schemas.microsoft.com/office/drawing/2014/main" id="{FBD2C779-3999-4EFF-AD16-7592B8EC8602}"/>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061C2355-29DA-43D2-BAD0-CF6027DC4237}"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90" name="Rectangle 89">
              <a:extLst>
                <a:ext uri="{FF2B5EF4-FFF2-40B4-BE49-F238E27FC236}">
                  <a16:creationId xmlns:a16="http://schemas.microsoft.com/office/drawing/2014/main" id="{FA3BB2A5-0104-43A9-B48F-A339B2D400C5}"/>
                </a:ext>
              </a:extLst>
            </xdr:cNvPr>
            <xdr:cNvSpPr/>
          </xdr:nvSpPr>
          <xdr:spPr>
            <a:xfrm>
              <a:off x="11287125" y="642938"/>
              <a:ext cx="1190057"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2A1C069B-FF88-438A-8E1D-F1BBDB08E5E4}"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78" name="Group 77">
            <a:extLst>
              <a:ext uri="{FF2B5EF4-FFF2-40B4-BE49-F238E27FC236}">
                <a16:creationId xmlns:a16="http://schemas.microsoft.com/office/drawing/2014/main" id="{2206E40C-57BA-494D-ABF3-BDE705A69F84}"/>
              </a:ext>
            </a:extLst>
          </xdr:cNvPr>
          <xdr:cNvGrpSpPr/>
        </xdr:nvGrpSpPr>
        <xdr:grpSpPr>
          <a:xfrm>
            <a:off x="4705350" y="975123"/>
            <a:ext cx="7771832" cy="257175"/>
            <a:chOff x="4705350" y="975123"/>
            <a:chExt cx="7771832" cy="257175"/>
          </a:xfrm>
        </xdr:grpSpPr>
        <xdr:sp macro="" textlink="">
          <xdr:nvSpPr>
            <xdr:cNvPr id="79" name="Rectangle 78">
              <a:extLst>
                <a:ext uri="{FF2B5EF4-FFF2-40B4-BE49-F238E27FC236}">
                  <a16:creationId xmlns:a16="http://schemas.microsoft.com/office/drawing/2014/main" id="{3A1B5BC4-9BEC-43F3-AEC1-9C9F97C74D8E}"/>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80" name="Rectangle 79">
              <a:extLst>
                <a:ext uri="{FF2B5EF4-FFF2-40B4-BE49-F238E27FC236}">
                  <a16:creationId xmlns:a16="http://schemas.microsoft.com/office/drawing/2014/main" id="{5F491B4C-CACD-4BD1-812F-8637861610B9}"/>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81" name="Rectangle 80">
              <a:extLst>
                <a:ext uri="{FF2B5EF4-FFF2-40B4-BE49-F238E27FC236}">
                  <a16:creationId xmlns:a16="http://schemas.microsoft.com/office/drawing/2014/main" id="{61A8DD79-C55B-421B-B722-DF0A3218B761}"/>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82" name="Rectangle 81">
              <a:extLst>
                <a:ext uri="{FF2B5EF4-FFF2-40B4-BE49-F238E27FC236}">
                  <a16:creationId xmlns:a16="http://schemas.microsoft.com/office/drawing/2014/main" id="{43C832A0-5E8B-4925-A0BE-86A83AC0C75B}"/>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4E26B934-4E4F-484E-AC97-AF45567FFFBC}"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83" name="Rectangle 82">
              <a:extLst>
                <a:ext uri="{FF2B5EF4-FFF2-40B4-BE49-F238E27FC236}">
                  <a16:creationId xmlns:a16="http://schemas.microsoft.com/office/drawing/2014/main" id="{9E2DEA0E-7D49-4289-9265-18AA1027E131}"/>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F1C4BDC1-1CC2-4FE9-826F-F6631BDD203A}"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84" name="Rectangle 83">
              <a:extLst>
                <a:ext uri="{FF2B5EF4-FFF2-40B4-BE49-F238E27FC236}">
                  <a16:creationId xmlns:a16="http://schemas.microsoft.com/office/drawing/2014/main" id="{3C234B14-14C5-4C91-9015-F7BA7BF476A0}"/>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1B0B750D-8B05-4322-9542-36C31F7D6607}"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4C45280E-5B8A-4129-B3C7-0AB05105D3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09925F2D-0972-47DF-9BC4-B156068A59B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0</xdr:colOff>
      <xdr:row>11</xdr:row>
      <xdr:rowOff>9526</xdr:rowOff>
    </xdr:from>
    <xdr:to>
      <xdr:col>17</xdr:col>
      <xdr:colOff>180975</xdr:colOff>
      <xdr:row>20</xdr:row>
      <xdr:rowOff>285750</xdr:rowOff>
    </xdr:to>
    <xdr:sp macro="" textlink="">
      <xdr:nvSpPr>
        <xdr:cNvPr id="36" name="Rectangle: Rounded Corners 35">
          <a:extLst>
            <a:ext uri="{FF2B5EF4-FFF2-40B4-BE49-F238E27FC236}">
              <a16:creationId xmlns:a16="http://schemas.microsoft.com/office/drawing/2014/main" id="{5DF8AE76-4B7F-4B64-AF76-2417FA608990}"/>
            </a:ext>
          </a:extLst>
        </xdr:cNvPr>
        <xdr:cNvSpPr/>
      </xdr:nvSpPr>
      <xdr:spPr>
        <a:xfrm>
          <a:off x="4724400" y="2962276"/>
          <a:ext cx="7705725" cy="2695574"/>
        </a:xfrm>
        <a:prstGeom prst="roundRect">
          <a:avLst>
            <a:gd name="adj" fmla="val 1836"/>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tlCol="0" anchor="t"/>
        <a:lstStyle/>
        <a:p>
          <a:pPr algn="l">
            <a:lnSpc>
              <a:spcPct val="130000"/>
            </a:lnSpc>
            <a:spcAft>
              <a:spcPts val="1200"/>
            </a:spcAft>
          </a:pPr>
          <a:r>
            <a:rPr lang="de-DE" sz="1200" b="0" baseline="0">
              <a:solidFill>
                <a:schemeClr val="tx2"/>
              </a:solidFill>
              <a:latin typeface="Century Gothic" panose="020B0502020202020204" pitchFamily="34" charset="0"/>
            </a:rPr>
            <a:t>Das Finanzamt erkennt nur einen bestimmten Teil des Kaufpreises als Kosten für das Gebäude an. Den Rest ordnet es dem Kauf des anteiligen Grundstücks zu. Je höher der </a:t>
          </a:r>
          <a:r>
            <a:rPr kumimoji="0" lang="de-DE" sz="1200" b="1"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Gebäudeanteil am Kaufpreis </a:t>
          </a:r>
          <a:r>
            <a:rPr kumimoji="0" lang="de-DE"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ist, desto besser für deine Steuer. </a:t>
          </a:r>
          <a:r>
            <a:rPr lang="de-DE" sz="1200" b="0" baseline="0">
              <a:solidFill>
                <a:schemeClr val="tx2"/>
              </a:solidFill>
              <a:latin typeface="Century Gothic" panose="020B0502020202020204" pitchFamily="34" charset="0"/>
            </a:rPr>
            <a:t>Wir haben diesen Wert bestmöglich geschätzt. Dazu haben wir berücksichtigt, wie alt das Haus ist, wie viel Grund und Boden zur Wohnung gehört (vorheriger Schritt) und was für eine Wohnung mit diesem m²-Preis ein realistischer Wert für einen Quadratmeter Grundstück ist.</a:t>
          </a:r>
        </a:p>
        <a:p>
          <a:pPr algn="l">
            <a:lnSpc>
              <a:spcPct val="130000"/>
            </a:lnSpc>
            <a:spcAft>
              <a:spcPts val="1200"/>
            </a:spcAft>
          </a:pPr>
          <a:r>
            <a:rPr lang="de-DE" sz="1200" b="0" baseline="0">
              <a:solidFill>
                <a:schemeClr val="tx2"/>
              </a:solidFill>
              <a:latin typeface="Century Gothic" panose="020B0502020202020204" pitchFamily="34" charset="0"/>
            </a:rPr>
            <a:t>Die </a:t>
          </a:r>
          <a:r>
            <a:rPr lang="de-DE" sz="1200" b="1" baseline="0">
              <a:solidFill>
                <a:schemeClr val="tx2"/>
              </a:solidFill>
              <a:latin typeface="Century Gothic" panose="020B0502020202020204" pitchFamily="34" charset="0"/>
            </a:rPr>
            <a:t>Abschreibung</a:t>
          </a:r>
          <a:r>
            <a:rPr lang="de-DE" sz="1200" b="0" baseline="0">
              <a:solidFill>
                <a:schemeClr val="tx2"/>
              </a:solidFill>
              <a:latin typeface="Century Gothic" panose="020B0502020202020204" pitchFamily="34" charset="0"/>
            </a:rPr>
            <a:t> darfst du steuerlich abziehen. Je höher sie ist, desto mehr bleibt nach Steuern übrig. Der </a:t>
          </a:r>
          <a:r>
            <a:rPr lang="de-DE" sz="1200" b="1" baseline="0">
              <a:solidFill>
                <a:schemeClr val="tx2"/>
              </a:solidFill>
              <a:latin typeface="Century Gothic" panose="020B0502020202020204" pitchFamily="34" charset="0"/>
            </a:rPr>
            <a:t>Abschreibungssatz</a:t>
          </a:r>
          <a:r>
            <a:rPr lang="de-DE" sz="1200" b="0" baseline="0">
              <a:solidFill>
                <a:schemeClr val="tx2"/>
              </a:solidFill>
              <a:latin typeface="Century Gothic" panose="020B0502020202020204" pitchFamily="34" charset="0"/>
            </a:rPr>
            <a:t> bestimmt, welchen Teil des Gebäude-Kaufpreises du pro Jahr steuerlich abschreiben darfst. Er beträgt für Häuser aus 1924 und früher 2,5%, ansonsten 2,0%. Aus all deinen Eingaben ergibt sich dann die monatliche Abschreibung.</a:t>
          </a:r>
        </a:p>
      </xdr:txBody>
    </xdr:sp>
    <xdr:clientData/>
  </xdr:twoCellAnchor>
  <xdr:twoCellAnchor editAs="oneCell">
    <xdr:from>
      <xdr:col>7</xdr:col>
      <xdr:colOff>114300</xdr:colOff>
      <xdr:row>11</xdr:row>
      <xdr:rowOff>95250</xdr:rowOff>
    </xdr:from>
    <xdr:to>
      <xdr:col>7</xdr:col>
      <xdr:colOff>457200</xdr:colOff>
      <xdr:row>12</xdr:row>
      <xdr:rowOff>114300</xdr:rowOff>
    </xdr:to>
    <xdr:pic>
      <xdr:nvPicPr>
        <xdr:cNvPr id="37" name="Picture 36" descr="http://de.seaicons.com/wp-content/uploads/2015/11/15-Light-Bulb-icon.png">
          <a:extLst>
            <a:ext uri="{FF2B5EF4-FFF2-40B4-BE49-F238E27FC236}">
              <a16:creationId xmlns:a16="http://schemas.microsoft.com/office/drawing/2014/main" id="{73575713-69DC-4858-AA15-4E6537A9DC85}"/>
            </a:ext>
          </a:extLst>
        </xdr:cNvPr>
        <xdr:cNvPicPr>
          <a:picLocks noChangeAspect="1" noChangeArrowheads="1"/>
        </xdr:cNvPicPr>
      </xdr:nvPicPr>
      <xdr:blipFill>
        <a:blip xmlns:r="http://schemas.openxmlformats.org/officeDocument/2006/relationships" r:embed="rId3" cstate="print">
          <a:duotone>
            <a:prstClr val="black"/>
            <a:schemeClr val="tx2">
              <a:tint val="45000"/>
              <a:satMod val="400000"/>
            </a:schemeClr>
          </a:duotone>
          <a:extLst>
            <a:ext uri="{28A0092B-C50C-407E-A947-70E740481C1C}">
              <a14:useLocalDpi xmlns:a14="http://schemas.microsoft.com/office/drawing/2010/main" val="0"/>
            </a:ext>
          </a:extLst>
        </a:blip>
        <a:srcRect/>
        <a:stretch>
          <a:fillRect/>
        </a:stretch>
      </xdr:blipFill>
      <xdr:spPr bwMode="auto">
        <a:xfrm>
          <a:off x="4838700" y="3048000"/>
          <a:ext cx="34290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333375</xdr:colOff>
      <xdr:row>18</xdr:row>
      <xdr:rowOff>123825</xdr:rowOff>
    </xdr:from>
    <xdr:to>
      <xdr:col>5</xdr:col>
      <xdr:colOff>0</xdr:colOff>
      <xdr:row>19</xdr:row>
      <xdr:rowOff>180975</xdr:rowOff>
    </xdr:to>
    <xdr:sp macro="" textlink="">
      <xdr:nvSpPr>
        <xdr:cNvPr id="40" name="Arrow: Right 39">
          <a:hlinkClick xmlns:r="http://schemas.openxmlformats.org/officeDocument/2006/relationships" r:id="rId4"/>
          <a:extLst>
            <a:ext uri="{FF2B5EF4-FFF2-40B4-BE49-F238E27FC236}">
              <a16:creationId xmlns:a16="http://schemas.microsoft.com/office/drawing/2014/main" id="{A58F92A5-6D54-4D0F-90C4-CF7A03D00CB8}"/>
            </a:ext>
          </a:extLst>
        </xdr:cNvPr>
        <xdr:cNvSpPr/>
      </xdr:nvSpPr>
      <xdr:spPr>
        <a:xfrm>
          <a:off x="2276475" y="495300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0</xdr:col>
      <xdr:colOff>209550</xdr:colOff>
      <xdr:row>18</xdr:row>
      <xdr:rowOff>123825</xdr:rowOff>
    </xdr:from>
    <xdr:to>
      <xdr:col>2</xdr:col>
      <xdr:colOff>1323975</xdr:colOff>
      <xdr:row>19</xdr:row>
      <xdr:rowOff>180975</xdr:rowOff>
    </xdr:to>
    <xdr:sp macro="" textlink="">
      <xdr:nvSpPr>
        <xdr:cNvPr id="41" name="Arrow: Right 40">
          <a:hlinkClick xmlns:r="http://schemas.openxmlformats.org/officeDocument/2006/relationships" r:id="rId5"/>
          <a:extLst>
            <a:ext uri="{FF2B5EF4-FFF2-40B4-BE49-F238E27FC236}">
              <a16:creationId xmlns:a16="http://schemas.microsoft.com/office/drawing/2014/main" id="{F4BCBFA9-5A5C-467B-B946-736D2E1B730B}"/>
            </a:ext>
          </a:extLst>
        </xdr:cNvPr>
        <xdr:cNvSpPr/>
      </xdr:nvSpPr>
      <xdr:spPr>
        <a:xfrm flipH="1">
          <a:off x="209550" y="4953000"/>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7</xdr:col>
      <xdr:colOff>0</xdr:colOff>
      <xdr:row>7</xdr:row>
      <xdr:rowOff>9524</xdr:rowOff>
    </xdr:from>
    <xdr:to>
      <xdr:col>17</xdr:col>
      <xdr:colOff>180975</xdr:colOff>
      <xdr:row>10</xdr:row>
      <xdr:rowOff>28574</xdr:rowOff>
    </xdr:to>
    <xdr:sp macro="" textlink="">
      <xdr:nvSpPr>
        <xdr:cNvPr id="42" name="Rectangle: Rounded Corners 41">
          <a:extLst>
            <a:ext uri="{FF2B5EF4-FFF2-40B4-BE49-F238E27FC236}">
              <a16:creationId xmlns:a16="http://schemas.microsoft.com/office/drawing/2014/main" id="{BBF49537-F09A-4C7A-B0AD-2711CEDF37BD}"/>
            </a:ext>
          </a:extLst>
        </xdr:cNvPr>
        <xdr:cNvSpPr/>
      </xdr:nvSpPr>
      <xdr:spPr>
        <a:xfrm>
          <a:off x="4724400" y="1657349"/>
          <a:ext cx="7705725" cy="1000125"/>
        </a:xfrm>
        <a:prstGeom prst="roundRect">
          <a:avLst>
            <a:gd name="adj" fmla="val 7665"/>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90000" rtlCol="0" anchor="t"/>
        <a:lstStyle/>
        <a:p>
          <a:pPr algn="l">
            <a:lnSpc>
              <a:spcPct val="130000"/>
            </a:lnSpc>
            <a:spcAft>
              <a:spcPts val="1200"/>
            </a:spcAft>
          </a:pPr>
          <a:r>
            <a:rPr lang="de-DE" sz="1200" b="0" baseline="0">
              <a:solidFill>
                <a:schemeClr val="tx2"/>
              </a:solidFill>
              <a:latin typeface="Century Gothic" panose="020B0502020202020204" pitchFamily="34" charset="0"/>
            </a:rPr>
            <a:t>Je nach </a:t>
          </a:r>
          <a:r>
            <a:rPr lang="de-DE" sz="1200" b="1" baseline="0">
              <a:solidFill>
                <a:schemeClr val="tx2"/>
              </a:solidFill>
              <a:latin typeface="Century Gothic" panose="020B0502020202020204" pitchFamily="34" charset="0"/>
            </a:rPr>
            <a:t>Baujahr</a:t>
          </a:r>
          <a:r>
            <a:rPr lang="de-DE" sz="1200" b="0" baseline="0">
              <a:solidFill>
                <a:schemeClr val="tx2"/>
              </a:solidFill>
              <a:latin typeface="Century Gothic" panose="020B0502020202020204" pitchFamily="34" charset="0"/>
            </a:rPr>
            <a:t> des Hauses erkennt das Finanzamt unterschiedlich hohe Gebäudekosten an.</a:t>
          </a:r>
        </a:p>
        <a:p>
          <a:pPr algn="l">
            <a:lnSpc>
              <a:spcPct val="130000"/>
            </a:lnSpc>
            <a:spcAft>
              <a:spcPts val="1200"/>
            </a:spcAft>
          </a:pPr>
          <a:r>
            <a:rPr lang="de-DE" sz="1200" b="0" baseline="0">
              <a:solidFill>
                <a:schemeClr val="tx2"/>
              </a:solidFill>
              <a:latin typeface="Century Gothic" panose="020B0502020202020204" pitchFamily="34" charset="0"/>
            </a:rPr>
            <a:t>Wenn im Kaufpreis deiner Wohnung eine </a:t>
          </a:r>
          <a:r>
            <a:rPr lang="de-DE" sz="1200" b="1" baseline="0">
              <a:solidFill>
                <a:schemeClr val="tx2"/>
              </a:solidFill>
              <a:latin typeface="Century Gothic" panose="020B0502020202020204" pitchFamily="34" charset="0"/>
            </a:rPr>
            <a:t>Garage</a:t>
          </a:r>
          <a:r>
            <a:rPr lang="de-DE" sz="1200" b="0" baseline="0">
              <a:solidFill>
                <a:schemeClr val="tx2"/>
              </a:solidFill>
              <a:latin typeface="Century Gothic" panose="020B0502020202020204" pitchFamily="34" charset="0"/>
            </a:rPr>
            <a:t> oder ein </a:t>
          </a:r>
          <a:r>
            <a:rPr lang="de-DE" sz="1200" b="1" baseline="0">
              <a:solidFill>
                <a:schemeClr val="tx2"/>
              </a:solidFill>
              <a:latin typeface="Century Gothic" panose="020B0502020202020204" pitchFamily="34" charset="0"/>
            </a:rPr>
            <a:t>Tiefgaragenstellplatz</a:t>
          </a:r>
          <a:r>
            <a:rPr lang="de-DE" sz="1200" b="0" baseline="0">
              <a:solidFill>
                <a:schemeClr val="tx2"/>
              </a:solidFill>
              <a:latin typeface="Century Gothic" panose="020B0502020202020204" pitchFamily="34" charset="0"/>
            </a:rPr>
            <a:t> enthalten ist, wähle dies bitte links aus. Ein Carport oder Stellplatz unter freiem Himmel zählen nicht.</a:t>
          </a:r>
        </a:p>
      </xdr:txBody>
    </xdr:sp>
    <xdr:clientData/>
  </xdr:twoCellAnchor>
  <xdr:twoCellAnchor>
    <xdr:from>
      <xdr:col>4</xdr:col>
      <xdr:colOff>76200</xdr:colOff>
      <xdr:row>0</xdr:row>
      <xdr:rowOff>133350</xdr:rowOff>
    </xdr:from>
    <xdr:to>
      <xdr:col>17</xdr:col>
      <xdr:colOff>257175</xdr:colOff>
      <xdr:row>2</xdr:row>
      <xdr:rowOff>29325</xdr:rowOff>
    </xdr:to>
    <xdr:grpSp>
      <xdr:nvGrpSpPr>
        <xdr:cNvPr id="43" name="Group 42">
          <a:extLst>
            <a:ext uri="{FF2B5EF4-FFF2-40B4-BE49-F238E27FC236}">
              <a16:creationId xmlns:a16="http://schemas.microsoft.com/office/drawing/2014/main" id="{358905EB-61EC-4AC7-BD83-F0EAFD54F793}"/>
            </a:ext>
          </a:extLst>
        </xdr:cNvPr>
        <xdr:cNvGrpSpPr/>
      </xdr:nvGrpSpPr>
      <xdr:grpSpPr>
        <a:xfrm>
          <a:off x="3365500" y="133350"/>
          <a:ext cx="10937875" cy="238875"/>
          <a:chOff x="2952750" y="137737"/>
          <a:chExt cx="9563100" cy="248400"/>
        </a:xfrm>
      </xdr:grpSpPr>
      <xdr:sp macro="" textlink="">
        <xdr:nvSpPr>
          <xdr:cNvPr id="44" name="Rectangle 43">
            <a:hlinkClick xmlns:r="http://schemas.openxmlformats.org/officeDocument/2006/relationships" r:id="rId6"/>
            <a:extLst>
              <a:ext uri="{FF2B5EF4-FFF2-40B4-BE49-F238E27FC236}">
                <a16:creationId xmlns:a16="http://schemas.microsoft.com/office/drawing/2014/main" id="{D813DCA4-5308-4FF0-BDB9-1CEC41E2A7A4}"/>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45" name="Rectangle 44">
            <a:hlinkClick xmlns:r="http://schemas.openxmlformats.org/officeDocument/2006/relationships" r:id="rId7"/>
            <a:extLst>
              <a:ext uri="{FF2B5EF4-FFF2-40B4-BE49-F238E27FC236}">
                <a16:creationId xmlns:a16="http://schemas.microsoft.com/office/drawing/2014/main" id="{4435DE7E-DEBF-4EEB-9594-DCD5740EBA60}"/>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46" name="Rectangle 45">
            <a:hlinkClick xmlns:r="http://schemas.openxmlformats.org/officeDocument/2006/relationships" r:id="rId8"/>
            <a:extLst>
              <a:ext uri="{FF2B5EF4-FFF2-40B4-BE49-F238E27FC236}">
                <a16:creationId xmlns:a16="http://schemas.microsoft.com/office/drawing/2014/main" id="{55E8024C-FE02-411F-BE37-7DC703B69597}"/>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Finanzierung</a:t>
            </a:r>
          </a:p>
        </xdr:txBody>
      </xdr:sp>
      <xdr:sp macro="" textlink="">
        <xdr:nvSpPr>
          <xdr:cNvPr id="47" name="Rectangle 46">
            <a:hlinkClick xmlns:r="http://schemas.openxmlformats.org/officeDocument/2006/relationships" r:id="rId9"/>
            <a:extLst>
              <a:ext uri="{FF2B5EF4-FFF2-40B4-BE49-F238E27FC236}">
                <a16:creationId xmlns:a16="http://schemas.microsoft.com/office/drawing/2014/main" id="{F85FDCBE-3A19-4645-BF0C-F4787D8A455E}"/>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Hausgeld &amp;</a:t>
            </a:r>
            <a:r>
              <a:rPr lang="de-DE" sz="1050" u="none" baseline="0">
                <a:solidFill>
                  <a:schemeClr val="bg1"/>
                </a:solidFill>
                <a:latin typeface="+mn-lt"/>
              </a:rPr>
              <a:t> Rücklagen</a:t>
            </a:r>
            <a:endParaRPr lang="de-DE" sz="1050" u="none">
              <a:solidFill>
                <a:schemeClr val="bg1"/>
              </a:solidFill>
              <a:latin typeface="+mn-lt"/>
            </a:endParaRPr>
          </a:p>
        </xdr:txBody>
      </xdr:sp>
      <xdr:sp macro="" textlink="">
        <xdr:nvSpPr>
          <xdr:cNvPr id="48" name="Rectangle 47">
            <a:hlinkClick xmlns:r="http://schemas.openxmlformats.org/officeDocument/2006/relationships" r:id="rId10"/>
            <a:extLst>
              <a:ext uri="{FF2B5EF4-FFF2-40B4-BE49-F238E27FC236}">
                <a16:creationId xmlns:a16="http://schemas.microsoft.com/office/drawing/2014/main" id="{4C629C64-1AAE-4E9A-8533-1F9C60A4A96C}"/>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Zinsrisiko</a:t>
            </a:r>
          </a:p>
        </xdr:txBody>
      </xdr:sp>
      <xdr:sp macro="" textlink="">
        <xdr:nvSpPr>
          <xdr:cNvPr id="49" name="Rectangle 48">
            <a:hlinkClick xmlns:r="http://schemas.openxmlformats.org/officeDocument/2006/relationships" r:id="rId11"/>
            <a:extLst>
              <a:ext uri="{FF2B5EF4-FFF2-40B4-BE49-F238E27FC236}">
                <a16:creationId xmlns:a16="http://schemas.microsoft.com/office/drawing/2014/main" id="{AF11F4EF-D495-4C5D-BBB7-0C337BB80557}"/>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u="sng">
                <a:solidFill>
                  <a:schemeClr val="bg1"/>
                </a:solidFill>
                <a:latin typeface="+mn-lt"/>
              </a:rPr>
              <a:t>Steuern</a:t>
            </a:r>
          </a:p>
        </xdr:txBody>
      </xdr:sp>
      <xdr:sp macro="" textlink="">
        <xdr:nvSpPr>
          <xdr:cNvPr id="50" name="Rectangle 49">
            <a:hlinkClick xmlns:r="http://schemas.openxmlformats.org/officeDocument/2006/relationships" r:id="rId12"/>
            <a:extLst>
              <a:ext uri="{FF2B5EF4-FFF2-40B4-BE49-F238E27FC236}">
                <a16:creationId xmlns:a16="http://schemas.microsoft.com/office/drawing/2014/main" id="{0A027B53-A930-44CC-96AE-AD27AFA2E7DC}"/>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51" name="Rectangle 50">
            <a:extLst>
              <a:ext uri="{FF2B5EF4-FFF2-40B4-BE49-F238E27FC236}">
                <a16:creationId xmlns:a16="http://schemas.microsoft.com/office/drawing/2014/main" id="{A7C0FA66-E229-4BD0-ADFF-EDAB7867C273}"/>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2" name="Rectangle 51">
            <a:extLst>
              <a:ext uri="{FF2B5EF4-FFF2-40B4-BE49-F238E27FC236}">
                <a16:creationId xmlns:a16="http://schemas.microsoft.com/office/drawing/2014/main" id="{4D8C5AE5-0537-4476-9BF2-E0829155781E}"/>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3" name="Rectangle 52">
            <a:extLst>
              <a:ext uri="{FF2B5EF4-FFF2-40B4-BE49-F238E27FC236}">
                <a16:creationId xmlns:a16="http://schemas.microsoft.com/office/drawing/2014/main" id="{23D59E38-9EA2-4475-A272-DD31A9C98CDB}"/>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4" name="Rectangle 53">
            <a:extLst>
              <a:ext uri="{FF2B5EF4-FFF2-40B4-BE49-F238E27FC236}">
                <a16:creationId xmlns:a16="http://schemas.microsoft.com/office/drawing/2014/main" id="{B91A40A8-01DF-4282-A97E-42B56A6C780B}"/>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5" name="Rectangle 54">
            <a:extLst>
              <a:ext uri="{FF2B5EF4-FFF2-40B4-BE49-F238E27FC236}">
                <a16:creationId xmlns:a16="http://schemas.microsoft.com/office/drawing/2014/main" id="{CBD500AF-8D78-41B5-B97B-E371B13C034C}"/>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6" name="Rectangle 55">
            <a:extLst>
              <a:ext uri="{FF2B5EF4-FFF2-40B4-BE49-F238E27FC236}">
                <a16:creationId xmlns:a16="http://schemas.microsoft.com/office/drawing/2014/main" id="{7BD21150-F600-4EC5-A845-4AEBD45FF188}"/>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7" name="Rectangle 56">
            <a:extLst>
              <a:ext uri="{FF2B5EF4-FFF2-40B4-BE49-F238E27FC236}">
                <a16:creationId xmlns:a16="http://schemas.microsoft.com/office/drawing/2014/main" id="{5A7FED28-CE13-4CAF-BA11-A3214B8CC58B}"/>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8" name="Rectangle: Rounded Corners 57">
            <a:hlinkClick xmlns:r="http://schemas.openxmlformats.org/officeDocument/2006/relationships" r:id="rId13"/>
            <a:extLst>
              <a:ext uri="{FF2B5EF4-FFF2-40B4-BE49-F238E27FC236}">
                <a16:creationId xmlns:a16="http://schemas.microsoft.com/office/drawing/2014/main" id="{D053270D-B828-46AB-BE03-87354214D137}"/>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59" name="Rectangle 58">
            <a:extLst>
              <a:ext uri="{FF2B5EF4-FFF2-40B4-BE49-F238E27FC236}">
                <a16:creationId xmlns:a16="http://schemas.microsoft.com/office/drawing/2014/main" id="{A7BDDF15-8AEB-4005-92D9-1C7B90DC7EA7}"/>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0" name="Rectangle: Rounded Corners 59">
            <a:hlinkClick xmlns:r="http://schemas.openxmlformats.org/officeDocument/2006/relationships" r:id="rId14"/>
            <a:extLst>
              <a:ext uri="{FF2B5EF4-FFF2-40B4-BE49-F238E27FC236}">
                <a16:creationId xmlns:a16="http://schemas.microsoft.com/office/drawing/2014/main" id="{B3ED8D50-F497-4085-9E4A-50B2E3008087}"/>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600075</xdr:colOff>
      <xdr:row>3</xdr:row>
      <xdr:rowOff>142875</xdr:rowOff>
    </xdr:from>
    <xdr:to>
      <xdr:col>17</xdr:col>
      <xdr:colOff>237557</xdr:colOff>
      <xdr:row>5</xdr:row>
      <xdr:rowOff>246460</xdr:rowOff>
    </xdr:to>
    <xdr:grpSp>
      <xdr:nvGrpSpPr>
        <xdr:cNvPr id="61" name="Group 60">
          <a:extLst>
            <a:ext uri="{FF2B5EF4-FFF2-40B4-BE49-F238E27FC236}">
              <a16:creationId xmlns:a16="http://schemas.microsoft.com/office/drawing/2014/main" id="{9FE0EC3D-4CBC-45F7-A742-1040D1BCCB32}"/>
            </a:ext>
          </a:extLst>
        </xdr:cNvPr>
        <xdr:cNvGrpSpPr/>
      </xdr:nvGrpSpPr>
      <xdr:grpSpPr>
        <a:xfrm>
          <a:off x="5311775" y="638175"/>
          <a:ext cx="8971982" cy="560785"/>
          <a:chOff x="4705350" y="652463"/>
          <a:chExt cx="7771832" cy="579835"/>
        </a:xfrm>
      </xdr:grpSpPr>
      <xdr:grpSp>
        <xdr:nvGrpSpPr>
          <xdr:cNvPr id="62" name="Group 61">
            <a:extLst>
              <a:ext uri="{FF2B5EF4-FFF2-40B4-BE49-F238E27FC236}">
                <a16:creationId xmlns:a16="http://schemas.microsoft.com/office/drawing/2014/main" id="{2D7A45DF-AEF1-4F33-B0A7-3512C5EC3E6C}"/>
              </a:ext>
            </a:extLst>
          </xdr:cNvPr>
          <xdr:cNvGrpSpPr/>
        </xdr:nvGrpSpPr>
        <xdr:grpSpPr>
          <a:xfrm>
            <a:off x="4705350" y="652463"/>
            <a:ext cx="7771832" cy="257175"/>
            <a:chOff x="4705350" y="642938"/>
            <a:chExt cx="7771832" cy="257175"/>
          </a:xfrm>
        </xdr:grpSpPr>
        <xdr:sp macro="" textlink="">
          <xdr:nvSpPr>
            <xdr:cNvPr id="70" name="Rectangle 69">
              <a:extLst>
                <a:ext uri="{FF2B5EF4-FFF2-40B4-BE49-F238E27FC236}">
                  <a16:creationId xmlns:a16="http://schemas.microsoft.com/office/drawing/2014/main" id="{1AB88410-B2A4-4596-B854-00C13C675424}"/>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71" name="Rectangle 70">
              <a:extLst>
                <a:ext uri="{FF2B5EF4-FFF2-40B4-BE49-F238E27FC236}">
                  <a16:creationId xmlns:a16="http://schemas.microsoft.com/office/drawing/2014/main" id="{39D0BC19-62AA-4996-8716-BE7A0C2D5C21}"/>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72" name="Rectangle 71">
              <a:extLst>
                <a:ext uri="{FF2B5EF4-FFF2-40B4-BE49-F238E27FC236}">
                  <a16:creationId xmlns:a16="http://schemas.microsoft.com/office/drawing/2014/main" id="{AEB9988C-B73F-41A5-B85C-67C26D2C0006}"/>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73" name="Rectangle 72">
              <a:extLst>
                <a:ext uri="{FF2B5EF4-FFF2-40B4-BE49-F238E27FC236}">
                  <a16:creationId xmlns:a16="http://schemas.microsoft.com/office/drawing/2014/main" id="{38A2F671-4AD8-4F8D-9B37-90202EDA3C20}"/>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961A9096-EEF0-4027-816F-11017C6446F0}"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74" name="Rectangle 73">
              <a:extLst>
                <a:ext uri="{FF2B5EF4-FFF2-40B4-BE49-F238E27FC236}">
                  <a16:creationId xmlns:a16="http://schemas.microsoft.com/office/drawing/2014/main" id="{973065AE-C84F-4F63-9CB8-DCCD5889BEEF}"/>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FCABF5A4-B3BF-411A-92B8-485DABB07411}"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75" name="Rectangle 74">
              <a:extLst>
                <a:ext uri="{FF2B5EF4-FFF2-40B4-BE49-F238E27FC236}">
                  <a16:creationId xmlns:a16="http://schemas.microsoft.com/office/drawing/2014/main" id="{9CED0F3C-1227-4BBF-8FF4-44B4361E3D15}"/>
                </a:ext>
              </a:extLst>
            </xdr:cNvPr>
            <xdr:cNvSpPr/>
          </xdr:nvSpPr>
          <xdr:spPr>
            <a:xfrm>
              <a:off x="11268075" y="642938"/>
              <a:ext cx="1209107"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39CCF58B-3A54-42C6-A0F7-6E764DAB2DFF}"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63" name="Group 62">
            <a:extLst>
              <a:ext uri="{FF2B5EF4-FFF2-40B4-BE49-F238E27FC236}">
                <a16:creationId xmlns:a16="http://schemas.microsoft.com/office/drawing/2014/main" id="{506D250B-B575-4434-81C6-ECBF2436B056}"/>
              </a:ext>
            </a:extLst>
          </xdr:cNvPr>
          <xdr:cNvGrpSpPr/>
        </xdr:nvGrpSpPr>
        <xdr:grpSpPr>
          <a:xfrm>
            <a:off x="4705350" y="975123"/>
            <a:ext cx="7771832" cy="257175"/>
            <a:chOff x="4705350" y="975123"/>
            <a:chExt cx="7771832" cy="257175"/>
          </a:xfrm>
        </xdr:grpSpPr>
        <xdr:sp macro="" textlink="">
          <xdr:nvSpPr>
            <xdr:cNvPr id="64" name="Rectangle 63">
              <a:extLst>
                <a:ext uri="{FF2B5EF4-FFF2-40B4-BE49-F238E27FC236}">
                  <a16:creationId xmlns:a16="http://schemas.microsoft.com/office/drawing/2014/main" id="{384915B0-4ED7-4203-B7C8-365A8A25092A}"/>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65" name="Rectangle 64">
              <a:extLst>
                <a:ext uri="{FF2B5EF4-FFF2-40B4-BE49-F238E27FC236}">
                  <a16:creationId xmlns:a16="http://schemas.microsoft.com/office/drawing/2014/main" id="{7F228590-098C-406A-A864-8385E1ACAD5C}"/>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66" name="Rectangle 65">
              <a:extLst>
                <a:ext uri="{FF2B5EF4-FFF2-40B4-BE49-F238E27FC236}">
                  <a16:creationId xmlns:a16="http://schemas.microsoft.com/office/drawing/2014/main" id="{1D746CEC-EF64-45DF-90D1-CB6E9A3612A3}"/>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67" name="Rectangle 66">
              <a:extLst>
                <a:ext uri="{FF2B5EF4-FFF2-40B4-BE49-F238E27FC236}">
                  <a16:creationId xmlns:a16="http://schemas.microsoft.com/office/drawing/2014/main" id="{14F59224-7BF3-4409-9CE0-8C2D1DA08D4D}"/>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C2C391FC-213D-438C-A0A5-34692815E256}"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68" name="Rectangle 67">
              <a:extLst>
                <a:ext uri="{FF2B5EF4-FFF2-40B4-BE49-F238E27FC236}">
                  <a16:creationId xmlns:a16="http://schemas.microsoft.com/office/drawing/2014/main" id="{AE6363EA-FF83-49DF-9833-FB9D26C6CA25}"/>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B0A73891-F8FB-4E4F-9BA4-F0C95C4C4675}"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69" name="Rectangle 68">
              <a:extLst>
                <a:ext uri="{FF2B5EF4-FFF2-40B4-BE49-F238E27FC236}">
                  <a16:creationId xmlns:a16="http://schemas.microsoft.com/office/drawing/2014/main" id="{F9863241-D88E-47D8-AF56-AD28FD9F32EE}"/>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82FA736B-8A7B-4317-90A8-308232C1145C}"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2AFC48F7-B603-497A-91EA-FD9E2C2248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4" name="Diagramm 7">
          <a:extLst>
            <a:ext uri="{FF2B5EF4-FFF2-40B4-BE49-F238E27FC236}">
              <a16:creationId xmlns:a16="http://schemas.microsoft.com/office/drawing/2014/main" id="{FE305E64-5163-4E77-8A36-7AA2D81B7A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0</xdr:colOff>
      <xdr:row>11</xdr:row>
      <xdr:rowOff>304801</xdr:rowOff>
    </xdr:from>
    <xdr:to>
      <xdr:col>17</xdr:col>
      <xdr:colOff>180975</xdr:colOff>
      <xdr:row>20</xdr:row>
      <xdr:rowOff>9525</xdr:rowOff>
    </xdr:to>
    <xdr:sp macro="" textlink="">
      <xdr:nvSpPr>
        <xdr:cNvPr id="35" name="Rectangle: Rounded Corners 34">
          <a:extLst>
            <a:ext uri="{FF2B5EF4-FFF2-40B4-BE49-F238E27FC236}">
              <a16:creationId xmlns:a16="http://schemas.microsoft.com/office/drawing/2014/main" id="{3DE53BA1-5D35-4294-8AC8-EA186E338183}"/>
            </a:ext>
          </a:extLst>
        </xdr:cNvPr>
        <xdr:cNvSpPr/>
      </xdr:nvSpPr>
      <xdr:spPr>
        <a:xfrm>
          <a:off x="4724400" y="3038476"/>
          <a:ext cx="7705725" cy="2124074"/>
        </a:xfrm>
        <a:prstGeom prst="roundRect">
          <a:avLst>
            <a:gd name="adj" fmla="val 1836"/>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tlCol="0" anchor="t"/>
        <a:lstStyle/>
        <a:p>
          <a:pPr algn="l">
            <a:lnSpc>
              <a:spcPct val="130000"/>
            </a:lnSpc>
            <a:spcAft>
              <a:spcPts val="1200"/>
            </a:spcAft>
          </a:pPr>
          <a:endParaRPr lang="de-DE" sz="1200" b="0" baseline="0">
            <a:solidFill>
              <a:schemeClr val="tx2"/>
            </a:solidFill>
            <a:latin typeface="Century Gothic" panose="020B0502020202020204" pitchFamily="34" charset="0"/>
          </a:endParaRPr>
        </a:p>
        <a:p>
          <a:pPr algn="l">
            <a:lnSpc>
              <a:spcPct val="130000"/>
            </a:lnSpc>
            <a:spcAft>
              <a:spcPts val="1200"/>
            </a:spcAft>
          </a:pPr>
          <a:endParaRPr lang="de-DE" sz="1200" b="0" baseline="0">
            <a:solidFill>
              <a:schemeClr val="tx2"/>
            </a:solidFill>
            <a:latin typeface="Century Gothic" panose="020B0502020202020204" pitchFamily="34" charset="0"/>
          </a:endParaRPr>
        </a:p>
      </xdr:txBody>
    </xdr:sp>
    <xdr:clientData/>
  </xdr:twoCellAnchor>
  <xdr:twoCellAnchor editAs="oneCell">
    <xdr:from>
      <xdr:col>7</xdr:col>
      <xdr:colOff>114300</xdr:colOff>
      <xdr:row>12</xdr:row>
      <xdr:rowOff>57150</xdr:rowOff>
    </xdr:from>
    <xdr:to>
      <xdr:col>7</xdr:col>
      <xdr:colOff>457200</xdr:colOff>
      <xdr:row>13</xdr:row>
      <xdr:rowOff>180975</xdr:rowOff>
    </xdr:to>
    <xdr:pic>
      <xdr:nvPicPr>
        <xdr:cNvPr id="36" name="Picture 35" descr="http://de.seaicons.com/wp-content/uploads/2015/11/15-Light-Bulb-icon.png">
          <a:extLst>
            <a:ext uri="{FF2B5EF4-FFF2-40B4-BE49-F238E27FC236}">
              <a16:creationId xmlns:a16="http://schemas.microsoft.com/office/drawing/2014/main" id="{1F76C9AA-EC56-44BA-B094-1A71B4E5C35B}"/>
            </a:ext>
          </a:extLst>
        </xdr:cNvPr>
        <xdr:cNvPicPr>
          <a:picLocks noChangeAspect="1" noChangeArrowheads="1"/>
        </xdr:cNvPicPr>
      </xdr:nvPicPr>
      <xdr:blipFill>
        <a:blip xmlns:r="http://schemas.openxmlformats.org/officeDocument/2006/relationships" r:embed="rId3" cstate="print">
          <a:duotone>
            <a:prstClr val="black"/>
            <a:schemeClr val="tx2">
              <a:tint val="45000"/>
              <a:satMod val="400000"/>
            </a:schemeClr>
          </a:duotone>
          <a:extLst>
            <a:ext uri="{28A0092B-C50C-407E-A947-70E740481C1C}">
              <a14:useLocalDpi xmlns:a14="http://schemas.microsoft.com/office/drawing/2010/main" val="0"/>
            </a:ext>
          </a:extLst>
        </a:blip>
        <a:srcRect/>
        <a:stretch>
          <a:fillRect/>
        </a:stretch>
      </xdr:blipFill>
      <xdr:spPr bwMode="auto">
        <a:xfrm>
          <a:off x="4838700" y="3114675"/>
          <a:ext cx="34290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333375</xdr:colOff>
      <xdr:row>17</xdr:row>
      <xdr:rowOff>38100</xdr:rowOff>
    </xdr:from>
    <xdr:to>
      <xdr:col>5</xdr:col>
      <xdr:colOff>0</xdr:colOff>
      <xdr:row>18</xdr:row>
      <xdr:rowOff>276225</xdr:rowOff>
    </xdr:to>
    <xdr:sp macro="" textlink="">
      <xdr:nvSpPr>
        <xdr:cNvPr id="37" name="Arrow: Right 36">
          <a:hlinkClick xmlns:r="http://schemas.openxmlformats.org/officeDocument/2006/relationships" r:id="rId4"/>
          <a:extLst>
            <a:ext uri="{FF2B5EF4-FFF2-40B4-BE49-F238E27FC236}">
              <a16:creationId xmlns:a16="http://schemas.microsoft.com/office/drawing/2014/main" id="{CE7BEE5E-4B2F-4682-ACA0-ED00CB18AA67}"/>
            </a:ext>
          </a:extLst>
        </xdr:cNvPr>
        <xdr:cNvSpPr/>
      </xdr:nvSpPr>
      <xdr:spPr>
        <a:xfrm>
          <a:off x="2276475" y="450532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l"/>
          <a:r>
            <a:rPr lang="de-DE" sz="1050">
              <a:latin typeface="Unit"/>
            </a:rPr>
            <a:t>zum nächsten Schritt</a:t>
          </a:r>
        </a:p>
      </xdr:txBody>
    </xdr:sp>
    <xdr:clientData/>
  </xdr:twoCellAnchor>
  <xdr:twoCellAnchor>
    <xdr:from>
      <xdr:col>0</xdr:col>
      <xdr:colOff>209550</xdr:colOff>
      <xdr:row>17</xdr:row>
      <xdr:rowOff>38100</xdr:rowOff>
    </xdr:from>
    <xdr:to>
      <xdr:col>2</xdr:col>
      <xdr:colOff>1323975</xdr:colOff>
      <xdr:row>18</xdr:row>
      <xdr:rowOff>276225</xdr:rowOff>
    </xdr:to>
    <xdr:sp macro="" textlink="">
      <xdr:nvSpPr>
        <xdr:cNvPr id="38" name="Arrow: Right 37">
          <a:hlinkClick xmlns:r="http://schemas.openxmlformats.org/officeDocument/2006/relationships" r:id="rId5"/>
          <a:extLst>
            <a:ext uri="{FF2B5EF4-FFF2-40B4-BE49-F238E27FC236}">
              <a16:creationId xmlns:a16="http://schemas.microsoft.com/office/drawing/2014/main" id="{0E4B207D-940F-48E7-BB6B-2AE1B233A396}"/>
            </a:ext>
          </a:extLst>
        </xdr:cNvPr>
        <xdr:cNvSpPr/>
      </xdr:nvSpPr>
      <xdr:spPr>
        <a:xfrm flipH="1">
          <a:off x="209550" y="450532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xdr:from>
      <xdr:col>7</xdr:col>
      <xdr:colOff>0</xdr:colOff>
      <xdr:row>7</xdr:row>
      <xdr:rowOff>9525</xdr:rowOff>
    </xdr:from>
    <xdr:to>
      <xdr:col>17</xdr:col>
      <xdr:colOff>180975</xdr:colOff>
      <xdr:row>11</xdr:row>
      <xdr:rowOff>19051</xdr:rowOff>
    </xdr:to>
    <xdr:sp macro="" textlink="">
      <xdr:nvSpPr>
        <xdr:cNvPr id="39" name="Rectangle: Rounded Corners 38">
          <a:extLst>
            <a:ext uri="{FF2B5EF4-FFF2-40B4-BE49-F238E27FC236}">
              <a16:creationId xmlns:a16="http://schemas.microsoft.com/office/drawing/2014/main" id="{1904ADFD-8A2C-45AA-8D18-23C85ECB191D}"/>
            </a:ext>
          </a:extLst>
        </xdr:cNvPr>
        <xdr:cNvSpPr/>
      </xdr:nvSpPr>
      <xdr:spPr>
        <a:xfrm>
          <a:off x="4724400" y="1657350"/>
          <a:ext cx="7705725" cy="1095376"/>
        </a:xfrm>
        <a:prstGeom prst="roundRect">
          <a:avLst>
            <a:gd name="adj" fmla="val 4119"/>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90000" rtlCol="0" anchor="t"/>
        <a:lstStyle/>
        <a:p>
          <a:pPr algn="l">
            <a:lnSpc>
              <a:spcPct val="130000"/>
            </a:lnSpc>
          </a:pPr>
          <a:r>
            <a:rPr lang="de-DE" sz="1200" b="0" baseline="0">
              <a:solidFill>
                <a:schemeClr val="tx2"/>
              </a:solidFill>
              <a:latin typeface="Century Gothic" panose="020B0502020202020204" pitchFamily="34" charset="0"/>
            </a:rPr>
            <a:t>Als letztes </a:t>
          </a:r>
          <a:r>
            <a:rPr lang="de-DE" sz="1200" b="1" baseline="0">
              <a:solidFill>
                <a:schemeClr val="tx2"/>
              </a:solidFill>
              <a:latin typeface="Century Gothic" panose="020B0502020202020204" pitchFamily="34" charset="0"/>
            </a:rPr>
            <a:t>ermittelst</a:t>
          </a:r>
          <a:r>
            <a:rPr lang="de-DE" sz="1200" b="0" baseline="0">
              <a:solidFill>
                <a:schemeClr val="tx2"/>
              </a:solidFill>
              <a:latin typeface="Century Gothic" panose="020B0502020202020204" pitchFamily="34" charset="0"/>
            </a:rPr>
            <a:t> du jetzt, welcher </a:t>
          </a:r>
          <a:r>
            <a:rPr lang="de-DE" sz="1200" b="1" baseline="0">
              <a:solidFill>
                <a:schemeClr val="tx2"/>
              </a:solidFill>
              <a:latin typeface="Century Gothic" panose="020B0502020202020204" pitchFamily="34" charset="0"/>
            </a:rPr>
            <a:t>Steuersatz</a:t>
          </a:r>
          <a:r>
            <a:rPr lang="de-DE" sz="1200" b="0" baseline="0">
              <a:solidFill>
                <a:schemeClr val="tx2"/>
              </a:solidFill>
              <a:latin typeface="Century Gothic" panose="020B0502020202020204" pitchFamily="34" charset="0"/>
            </a:rPr>
            <a:t> für deine Mieteinnahmen gilt. Zusätzliches Einkommen wird (vereinfacht) mit dem persönlichen Grenzsteuersatz versteuert. Dieser hängt insbesondere davon ab, ob du zusammen mit einem Ehepartner veranlagt wirst, </a:t>
          </a:r>
          <a:r>
            <a:rPr kumimoji="0" lang="de-DE" sz="1200" b="0" i="0" u="none" strike="noStrike" kern="0" cap="none" spc="0" normalizeH="0" baseline="0" noProof="0">
              <a:ln>
                <a:noFill/>
              </a:ln>
              <a:solidFill>
                <a:srgbClr val="19323C"/>
              </a:solidFill>
              <a:effectLst/>
              <a:uLnTx/>
              <a:uFillTx/>
              <a:latin typeface="Century Gothic" panose="020B0502020202020204" pitchFamily="34" charset="0"/>
              <a:ea typeface="+mn-ea"/>
              <a:cs typeface="+mn-cs"/>
            </a:rPr>
            <a:t>wie hoch dein / euer zu versteuerndes Einkommen ist und ob du Kirchensteuer bezahlen musst.</a:t>
          </a:r>
          <a:endParaRPr lang="de-DE" sz="1200" b="0" baseline="0">
            <a:solidFill>
              <a:schemeClr val="tx2"/>
            </a:solidFill>
            <a:latin typeface="Century Gothic" panose="020B0502020202020204" pitchFamily="34" charset="0"/>
          </a:endParaRPr>
        </a:p>
      </xdr:txBody>
    </xdr:sp>
    <xdr:clientData/>
  </xdr:twoCellAnchor>
  <xdr:twoCellAnchor>
    <xdr:from>
      <xdr:col>7</xdr:col>
      <xdr:colOff>457200</xdr:colOff>
      <xdr:row>12</xdr:row>
      <xdr:rowOff>38101</xdr:rowOff>
    </xdr:from>
    <xdr:to>
      <xdr:col>17</xdr:col>
      <xdr:colOff>19050</xdr:colOff>
      <xdr:row>13</xdr:row>
      <xdr:rowOff>104776</xdr:rowOff>
    </xdr:to>
    <xdr:sp macro="" textlink="$I$14">
      <xdr:nvSpPr>
        <xdr:cNvPr id="40" name="Rectangle 39">
          <a:extLst>
            <a:ext uri="{FF2B5EF4-FFF2-40B4-BE49-F238E27FC236}">
              <a16:creationId xmlns:a16="http://schemas.microsoft.com/office/drawing/2014/main" id="{35CE9F7E-6ECB-424A-A60A-A756464538A3}"/>
            </a:ext>
          </a:extLst>
        </xdr:cNvPr>
        <xdr:cNvSpPr/>
      </xdr:nvSpPr>
      <xdr:spPr>
        <a:xfrm>
          <a:off x="5181600" y="3095626"/>
          <a:ext cx="7086600" cy="285750"/>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703A3115-A30E-4E51-B240-BA48AE098A6C}" type="TxLink">
            <a:rPr lang="en-US" sz="1200" b="0" i="0" u="none" strike="noStrike">
              <a:solidFill>
                <a:schemeClr val="tx2"/>
              </a:solidFill>
              <a:latin typeface="Century Gothic" panose="020B0502020202020204" pitchFamily="34" charset="0"/>
              <a:cs typeface="Calibri"/>
            </a:rPr>
            <a:pPr algn="l"/>
            <a:t>Auf deine Mieteinnahmen zahlst du rechnerisch pro Monat circa 0 € Steuern. </a:t>
          </a:fld>
          <a:endParaRPr lang="de-DE" sz="1200">
            <a:solidFill>
              <a:schemeClr val="tx2"/>
            </a:solidFill>
            <a:latin typeface="Century Gothic" panose="020B0502020202020204" pitchFamily="34" charset="0"/>
          </a:endParaRPr>
        </a:p>
      </xdr:txBody>
    </xdr:sp>
    <xdr:clientData/>
  </xdr:twoCellAnchor>
  <xdr:twoCellAnchor>
    <xdr:from>
      <xdr:col>7</xdr:col>
      <xdr:colOff>457200</xdr:colOff>
      <xdr:row>13</xdr:row>
      <xdr:rowOff>133351</xdr:rowOff>
    </xdr:from>
    <xdr:to>
      <xdr:col>17</xdr:col>
      <xdr:colOff>19050</xdr:colOff>
      <xdr:row>15</xdr:row>
      <xdr:rowOff>295275</xdr:rowOff>
    </xdr:to>
    <xdr:sp macro="" textlink="$I$16">
      <xdr:nvSpPr>
        <xdr:cNvPr id="41" name="Rectangle 40">
          <a:extLst>
            <a:ext uri="{FF2B5EF4-FFF2-40B4-BE49-F238E27FC236}">
              <a16:creationId xmlns:a16="http://schemas.microsoft.com/office/drawing/2014/main" id="{AAFB8156-479A-4DDA-9BC2-C49CB1870789}"/>
            </a:ext>
          </a:extLst>
        </xdr:cNvPr>
        <xdr:cNvSpPr/>
      </xdr:nvSpPr>
      <xdr:spPr>
        <a:xfrm>
          <a:off x="5181600" y="3409951"/>
          <a:ext cx="7086600" cy="704849"/>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E436A5B3-11D9-4190-9590-7BCE90AA2FD6}" type="TxLink">
            <a:rPr lang="en-US" sz="1200" b="0" i="0" u="none" strike="noStrike">
              <a:solidFill>
                <a:schemeClr val="tx2"/>
              </a:solidFill>
              <a:latin typeface="Century Gothic" panose="020B0502020202020204" pitchFamily="34" charset="0"/>
              <a:cs typeface="Calibri"/>
            </a:rPr>
            <a:pPr algn="l"/>
            <a:t>Die Steuern ergeben sich, indem du von deinen Mieteinnahmen (0 €) die nicht umlagefähigen Bewirtschaftungskosten ohne Rücklagen (0 €), die Zinsen (0 €) und die Abschreibung (0 €) abziehst.</a:t>
          </a:fld>
          <a:endParaRPr lang="de-DE" sz="1200">
            <a:solidFill>
              <a:schemeClr val="tx2"/>
            </a:solidFill>
            <a:latin typeface="Century Gothic" panose="020B0502020202020204" pitchFamily="34" charset="0"/>
          </a:endParaRPr>
        </a:p>
      </xdr:txBody>
    </xdr:sp>
    <xdr:clientData/>
  </xdr:twoCellAnchor>
  <xdr:twoCellAnchor>
    <xdr:from>
      <xdr:col>7</xdr:col>
      <xdr:colOff>457200</xdr:colOff>
      <xdr:row>15</xdr:row>
      <xdr:rowOff>304800</xdr:rowOff>
    </xdr:from>
    <xdr:to>
      <xdr:col>17</xdr:col>
      <xdr:colOff>19050</xdr:colOff>
      <xdr:row>18</xdr:row>
      <xdr:rowOff>28575</xdr:rowOff>
    </xdr:to>
    <xdr:sp macro="" textlink="$I$17">
      <xdr:nvSpPr>
        <xdr:cNvPr id="42" name="Rectangle 41">
          <a:extLst>
            <a:ext uri="{FF2B5EF4-FFF2-40B4-BE49-F238E27FC236}">
              <a16:creationId xmlns:a16="http://schemas.microsoft.com/office/drawing/2014/main" id="{797FEAFE-9A71-4A9D-80CC-AB2808D9848D}"/>
            </a:ext>
          </a:extLst>
        </xdr:cNvPr>
        <xdr:cNvSpPr/>
      </xdr:nvSpPr>
      <xdr:spPr>
        <a:xfrm>
          <a:off x="5181600" y="4124325"/>
          <a:ext cx="7086600" cy="514350"/>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69BD8BD-BD18-4064-9FB1-851F7575C7EB}" type="TxLink">
            <a:rPr lang="en-US" sz="1200" b="0" i="0" u="none" strike="noStrike">
              <a:solidFill>
                <a:schemeClr val="tx2"/>
              </a:solidFill>
              <a:latin typeface="Century Gothic" panose="020B0502020202020204" pitchFamily="34" charset="0"/>
              <a:cs typeface="Calibri"/>
            </a:rPr>
            <a:pPr algn="l"/>
            <a:t>Was übrig bleibt (0 €), multiplizierst du mit deinem Grenzsteuersatz: 0 € * 0% = 0 € Steuern.</a:t>
          </a:fld>
          <a:endParaRPr lang="de-DE" sz="1400">
            <a:solidFill>
              <a:schemeClr val="tx2"/>
            </a:solidFill>
            <a:latin typeface="Century Gothic" panose="020B0502020202020204" pitchFamily="34" charset="0"/>
          </a:endParaRPr>
        </a:p>
      </xdr:txBody>
    </xdr:sp>
    <xdr:clientData/>
  </xdr:twoCellAnchor>
  <xdr:twoCellAnchor>
    <xdr:from>
      <xdr:col>7</xdr:col>
      <xdr:colOff>457200</xdr:colOff>
      <xdr:row>18</xdr:row>
      <xdr:rowOff>28575</xdr:rowOff>
    </xdr:from>
    <xdr:to>
      <xdr:col>17</xdr:col>
      <xdr:colOff>19050</xdr:colOff>
      <xdr:row>20</xdr:row>
      <xdr:rowOff>0</xdr:rowOff>
    </xdr:to>
    <xdr:sp macro="" textlink="">
      <xdr:nvSpPr>
        <xdr:cNvPr id="43" name="Rectangle 42">
          <a:extLst>
            <a:ext uri="{FF2B5EF4-FFF2-40B4-BE49-F238E27FC236}">
              <a16:creationId xmlns:a16="http://schemas.microsoft.com/office/drawing/2014/main" id="{8EE8AD2A-FB88-42E2-A5E7-CE62C28E6F34}"/>
            </a:ext>
          </a:extLst>
        </xdr:cNvPr>
        <xdr:cNvSpPr/>
      </xdr:nvSpPr>
      <xdr:spPr>
        <a:xfrm>
          <a:off x="5181600" y="4638675"/>
          <a:ext cx="7086600" cy="514350"/>
        </a:xfrm>
        <a:prstGeom prst="rect">
          <a:avLst/>
        </a:prstGeom>
        <a:solidFill>
          <a:srgbClr val="FBFFF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200" b="0" i="0" u="none" strike="noStrike">
              <a:solidFill>
                <a:schemeClr val="tx2"/>
              </a:solidFill>
              <a:latin typeface="Century Gothic" panose="020B0502020202020204" pitchFamily="34" charset="0"/>
              <a:cs typeface="Calibri"/>
            </a:rPr>
            <a:t>In der Praxis werden die Steuern erst mit der Steuererklärung im nächsten Jahr fällig. Du solltest diesen Betrag deshalb regelmäßig zur Seite legen.</a:t>
          </a:r>
        </a:p>
      </xdr:txBody>
    </xdr:sp>
    <xdr:clientData/>
  </xdr:twoCellAnchor>
  <xdr:twoCellAnchor>
    <xdr:from>
      <xdr:col>4</xdr:col>
      <xdr:colOff>76200</xdr:colOff>
      <xdr:row>0</xdr:row>
      <xdr:rowOff>133350</xdr:rowOff>
    </xdr:from>
    <xdr:to>
      <xdr:col>17</xdr:col>
      <xdr:colOff>257175</xdr:colOff>
      <xdr:row>2</xdr:row>
      <xdr:rowOff>29325</xdr:rowOff>
    </xdr:to>
    <xdr:grpSp>
      <xdr:nvGrpSpPr>
        <xdr:cNvPr id="44" name="Group 43">
          <a:extLst>
            <a:ext uri="{FF2B5EF4-FFF2-40B4-BE49-F238E27FC236}">
              <a16:creationId xmlns:a16="http://schemas.microsoft.com/office/drawing/2014/main" id="{4DDDEDFB-485C-4912-BD20-A94BC83EBE17}"/>
            </a:ext>
          </a:extLst>
        </xdr:cNvPr>
        <xdr:cNvGrpSpPr/>
      </xdr:nvGrpSpPr>
      <xdr:grpSpPr>
        <a:xfrm>
          <a:off x="3365500" y="133350"/>
          <a:ext cx="10937875" cy="238875"/>
          <a:chOff x="2952750" y="137737"/>
          <a:chExt cx="9563100" cy="248400"/>
        </a:xfrm>
      </xdr:grpSpPr>
      <xdr:sp macro="" textlink="">
        <xdr:nvSpPr>
          <xdr:cNvPr id="45" name="Rectangle 44">
            <a:hlinkClick xmlns:r="http://schemas.openxmlformats.org/officeDocument/2006/relationships" r:id="rId6"/>
            <a:extLst>
              <a:ext uri="{FF2B5EF4-FFF2-40B4-BE49-F238E27FC236}">
                <a16:creationId xmlns:a16="http://schemas.microsoft.com/office/drawing/2014/main" id="{269D33E2-A62B-418A-B823-D4BE2C8D1001}"/>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46" name="Rectangle 45">
            <a:hlinkClick xmlns:r="http://schemas.openxmlformats.org/officeDocument/2006/relationships" r:id="rId7"/>
            <a:extLst>
              <a:ext uri="{FF2B5EF4-FFF2-40B4-BE49-F238E27FC236}">
                <a16:creationId xmlns:a16="http://schemas.microsoft.com/office/drawing/2014/main" id="{B6695BCF-F5AD-4F8A-BB36-8C2D528149FE}"/>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47" name="Rectangle 46">
            <a:hlinkClick xmlns:r="http://schemas.openxmlformats.org/officeDocument/2006/relationships" r:id="rId8"/>
            <a:extLst>
              <a:ext uri="{FF2B5EF4-FFF2-40B4-BE49-F238E27FC236}">
                <a16:creationId xmlns:a16="http://schemas.microsoft.com/office/drawing/2014/main" id="{FD529046-3088-49F6-8B5E-538379E6AEA4}"/>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Finanzierung</a:t>
            </a:r>
          </a:p>
        </xdr:txBody>
      </xdr:sp>
      <xdr:sp macro="" textlink="">
        <xdr:nvSpPr>
          <xdr:cNvPr id="48" name="Rectangle 47">
            <a:hlinkClick xmlns:r="http://schemas.openxmlformats.org/officeDocument/2006/relationships" r:id="rId9"/>
            <a:extLst>
              <a:ext uri="{FF2B5EF4-FFF2-40B4-BE49-F238E27FC236}">
                <a16:creationId xmlns:a16="http://schemas.microsoft.com/office/drawing/2014/main" id="{CF7173E9-5104-42A7-A124-A0F70DAC89F4}"/>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Hausgeld &amp;</a:t>
            </a:r>
            <a:r>
              <a:rPr lang="de-DE" sz="1050" u="none" baseline="0">
                <a:solidFill>
                  <a:schemeClr val="bg1"/>
                </a:solidFill>
                <a:latin typeface="+mn-lt"/>
              </a:rPr>
              <a:t> Rücklagen</a:t>
            </a:r>
            <a:endParaRPr lang="de-DE" sz="1050" u="none">
              <a:solidFill>
                <a:schemeClr val="bg1"/>
              </a:solidFill>
              <a:latin typeface="+mn-lt"/>
            </a:endParaRPr>
          </a:p>
        </xdr:txBody>
      </xdr:sp>
      <xdr:sp macro="" textlink="">
        <xdr:nvSpPr>
          <xdr:cNvPr id="49" name="Rectangle 48">
            <a:hlinkClick xmlns:r="http://schemas.openxmlformats.org/officeDocument/2006/relationships" r:id="rId10"/>
            <a:extLst>
              <a:ext uri="{FF2B5EF4-FFF2-40B4-BE49-F238E27FC236}">
                <a16:creationId xmlns:a16="http://schemas.microsoft.com/office/drawing/2014/main" id="{8136286E-9FA6-4A23-BA5F-7827A81CF651}"/>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Zinsrisiko</a:t>
            </a:r>
          </a:p>
        </xdr:txBody>
      </xdr:sp>
      <xdr:sp macro="" textlink="">
        <xdr:nvSpPr>
          <xdr:cNvPr id="50" name="Rectangle 49">
            <a:hlinkClick xmlns:r="http://schemas.openxmlformats.org/officeDocument/2006/relationships" r:id="rId11"/>
            <a:extLst>
              <a:ext uri="{FF2B5EF4-FFF2-40B4-BE49-F238E27FC236}">
                <a16:creationId xmlns:a16="http://schemas.microsoft.com/office/drawing/2014/main" id="{CE4BD00D-268A-4879-9E90-2FF2B2B6D8F8}"/>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u="sng">
                <a:solidFill>
                  <a:schemeClr val="bg1"/>
                </a:solidFill>
                <a:latin typeface="+mn-lt"/>
              </a:rPr>
              <a:t>Steuern</a:t>
            </a:r>
          </a:p>
        </xdr:txBody>
      </xdr:sp>
      <xdr:sp macro="" textlink="">
        <xdr:nvSpPr>
          <xdr:cNvPr id="51" name="Rectangle 50">
            <a:hlinkClick xmlns:r="http://schemas.openxmlformats.org/officeDocument/2006/relationships" r:id="rId4"/>
            <a:extLst>
              <a:ext uri="{FF2B5EF4-FFF2-40B4-BE49-F238E27FC236}">
                <a16:creationId xmlns:a16="http://schemas.microsoft.com/office/drawing/2014/main" id="{C393B9CA-D042-4CEF-8CF0-9D8CA5AFAAC2}"/>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a:solidFill>
                  <a:schemeClr val="bg1"/>
                </a:solidFill>
                <a:latin typeface="+mn-lt"/>
              </a:rPr>
              <a:t>Ergebnis</a:t>
            </a:r>
          </a:p>
        </xdr:txBody>
      </xdr:sp>
      <xdr:sp macro="" textlink="">
        <xdr:nvSpPr>
          <xdr:cNvPr id="52" name="Rectangle 51">
            <a:extLst>
              <a:ext uri="{FF2B5EF4-FFF2-40B4-BE49-F238E27FC236}">
                <a16:creationId xmlns:a16="http://schemas.microsoft.com/office/drawing/2014/main" id="{06A5688E-0233-45B2-9350-41D7ED291A39}"/>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3" name="Rectangle 52">
            <a:extLst>
              <a:ext uri="{FF2B5EF4-FFF2-40B4-BE49-F238E27FC236}">
                <a16:creationId xmlns:a16="http://schemas.microsoft.com/office/drawing/2014/main" id="{66EE5859-CF2F-499A-B51F-CE53CB0AD339}"/>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4" name="Rectangle 53">
            <a:extLst>
              <a:ext uri="{FF2B5EF4-FFF2-40B4-BE49-F238E27FC236}">
                <a16:creationId xmlns:a16="http://schemas.microsoft.com/office/drawing/2014/main" id="{16816BB4-27FB-46B3-863B-B9960461E857}"/>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5" name="Rectangle 54">
            <a:extLst>
              <a:ext uri="{FF2B5EF4-FFF2-40B4-BE49-F238E27FC236}">
                <a16:creationId xmlns:a16="http://schemas.microsoft.com/office/drawing/2014/main" id="{E2F90473-8C30-4E32-9B2E-2D8207673805}"/>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6" name="Rectangle 55">
            <a:extLst>
              <a:ext uri="{FF2B5EF4-FFF2-40B4-BE49-F238E27FC236}">
                <a16:creationId xmlns:a16="http://schemas.microsoft.com/office/drawing/2014/main" id="{8BDA111A-614B-4CDC-AD18-CF6A7F844FFF}"/>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7" name="Rectangle 56">
            <a:extLst>
              <a:ext uri="{FF2B5EF4-FFF2-40B4-BE49-F238E27FC236}">
                <a16:creationId xmlns:a16="http://schemas.microsoft.com/office/drawing/2014/main" id="{C853CE53-C399-4133-9D62-2809D4F86E0F}"/>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8" name="Rectangle 57">
            <a:extLst>
              <a:ext uri="{FF2B5EF4-FFF2-40B4-BE49-F238E27FC236}">
                <a16:creationId xmlns:a16="http://schemas.microsoft.com/office/drawing/2014/main" id="{6DC169BB-12E8-4EE8-8EA9-2125EC80AFF0}"/>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59" name="Rectangle: Rounded Corners 58">
            <a:hlinkClick xmlns:r="http://schemas.openxmlformats.org/officeDocument/2006/relationships" r:id="rId12"/>
            <a:extLst>
              <a:ext uri="{FF2B5EF4-FFF2-40B4-BE49-F238E27FC236}">
                <a16:creationId xmlns:a16="http://schemas.microsoft.com/office/drawing/2014/main" id="{8B699771-3F9B-4CAA-BA2C-9BB53890248B}"/>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60" name="Rectangle 59">
            <a:extLst>
              <a:ext uri="{FF2B5EF4-FFF2-40B4-BE49-F238E27FC236}">
                <a16:creationId xmlns:a16="http://schemas.microsoft.com/office/drawing/2014/main" id="{C8CBE711-A488-4235-BE5E-3CF36B056F20}"/>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61" name="Rectangle: Rounded Corners 60">
            <a:hlinkClick xmlns:r="http://schemas.openxmlformats.org/officeDocument/2006/relationships" r:id="rId13"/>
            <a:extLst>
              <a:ext uri="{FF2B5EF4-FFF2-40B4-BE49-F238E27FC236}">
                <a16:creationId xmlns:a16="http://schemas.microsoft.com/office/drawing/2014/main" id="{2B9CD4B7-D830-4895-A75F-2E0DEC724A43}"/>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6</xdr:col>
      <xdr:colOff>590550</xdr:colOff>
      <xdr:row>3</xdr:row>
      <xdr:rowOff>142875</xdr:rowOff>
    </xdr:from>
    <xdr:to>
      <xdr:col>17</xdr:col>
      <xdr:colOff>228032</xdr:colOff>
      <xdr:row>5</xdr:row>
      <xdr:rowOff>246460</xdr:rowOff>
    </xdr:to>
    <xdr:grpSp>
      <xdr:nvGrpSpPr>
        <xdr:cNvPr id="62" name="Group 61">
          <a:extLst>
            <a:ext uri="{FF2B5EF4-FFF2-40B4-BE49-F238E27FC236}">
              <a16:creationId xmlns:a16="http://schemas.microsoft.com/office/drawing/2014/main" id="{2FFCA6BC-C195-484E-9F74-D589F3B8577A}"/>
            </a:ext>
          </a:extLst>
        </xdr:cNvPr>
        <xdr:cNvGrpSpPr/>
      </xdr:nvGrpSpPr>
      <xdr:grpSpPr>
        <a:xfrm>
          <a:off x="5302250" y="638175"/>
          <a:ext cx="8971982" cy="560785"/>
          <a:chOff x="4705350" y="652463"/>
          <a:chExt cx="7771832" cy="579835"/>
        </a:xfrm>
      </xdr:grpSpPr>
      <xdr:grpSp>
        <xdr:nvGrpSpPr>
          <xdr:cNvPr id="63" name="Group 62">
            <a:extLst>
              <a:ext uri="{FF2B5EF4-FFF2-40B4-BE49-F238E27FC236}">
                <a16:creationId xmlns:a16="http://schemas.microsoft.com/office/drawing/2014/main" id="{479F19C7-4D3B-491A-8BC9-16297263DDBC}"/>
              </a:ext>
            </a:extLst>
          </xdr:cNvPr>
          <xdr:cNvGrpSpPr/>
        </xdr:nvGrpSpPr>
        <xdr:grpSpPr>
          <a:xfrm>
            <a:off x="4705350" y="652463"/>
            <a:ext cx="7771832" cy="257175"/>
            <a:chOff x="4705350" y="642938"/>
            <a:chExt cx="7771832" cy="257175"/>
          </a:xfrm>
        </xdr:grpSpPr>
        <xdr:sp macro="" textlink="">
          <xdr:nvSpPr>
            <xdr:cNvPr id="71" name="Rectangle 70">
              <a:extLst>
                <a:ext uri="{FF2B5EF4-FFF2-40B4-BE49-F238E27FC236}">
                  <a16:creationId xmlns:a16="http://schemas.microsoft.com/office/drawing/2014/main" id="{C6A6E3CF-2ABF-49E7-A977-F3A29FC77B79}"/>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72" name="Rectangle 71">
              <a:extLst>
                <a:ext uri="{FF2B5EF4-FFF2-40B4-BE49-F238E27FC236}">
                  <a16:creationId xmlns:a16="http://schemas.microsoft.com/office/drawing/2014/main" id="{18AA7D89-38A7-4335-A6FA-86692D575B49}"/>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73" name="Rectangle 72">
              <a:extLst>
                <a:ext uri="{FF2B5EF4-FFF2-40B4-BE49-F238E27FC236}">
                  <a16:creationId xmlns:a16="http://schemas.microsoft.com/office/drawing/2014/main" id="{76BBBD95-4377-45EE-892E-DE7ABCC7FCE4}"/>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74" name="Rectangle 73">
              <a:extLst>
                <a:ext uri="{FF2B5EF4-FFF2-40B4-BE49-F238E27FC236}">
                  <a16:creationId xmlns:a16="http://schemas.microsoft.com/office/drawing/2014/main" id="{4CCCE9AA-8355-4492-91AC-FC576C737ED7}"/>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0F02BC6C-0B38-4CC1-8DCA-922E07DFB9CE}"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75" name="Rectangle 74">
              <a:extLst>
                <a:ext uri="{FF2B5EF4-FFF2-40B4-BE49-F238E27FC236}">
                  <a16:creationId xmlns:a16="http://schemas.microsoft.com/office/drawing/2014/main" id="{E9056AB3-82CD-4FC3-9B35-EAEF6385E339}"/>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9A9F522F-F1D1-48DF-84B7-02F8FDFF0BC1}"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76" name="Rectangle 75">
              <a:extLst>
                <a:ext uri="{FF2B5EF4-FFF2-40B4-BE49-F238E27FC236}">
                  <a16:creationId xmlns:a16="http://schemas.microsoft.com/office/drawing/2014/main" id="{06292941-B467-4173-94DF-4FFD8AEE0A5E}"/>
                </a:ext>
              </a:extLst>
            </xdr:cNvPr>
            <xdr:cNvSpPr/>
          </xdr:nvSpPr>
          <xdr:spPr>
            <a:xfrm>
              <a:off x="11287125" y="642938"/>
              <a:ext cx="1190057"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B31D8EBF-F1DC-4159-B3AC-1A4349512A5D}"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64" name="Group 63">
            <a:extLst>
              <a:ext uri="{FF2B5EF4-FFF2-40B4-BE49-F238E27FC236}">
                <a16:creationId xmlns:a16="http://schemas.microsoft.com/office/drawing/2014/main" id="{84AE4183-51DC-499F-9283-425B990B1B42}"/>
              </a:ext>
            </a:extLst>
          </xdr:cNvPr>
          <xdr:cNvGrpSpPr/>
        </xdr:nvGrpSpPr>
        <xdr:grpSpPr>
          <a:xfrm>
            <a:off x="4705350" y="975123"/>
            <a:ext cx="7771832" cy="257175"/>
            <a:chOff x="4705350" y="975123"/>
            <a:chExt cx="7771832" cy="257175"/>
          </a:xfrm>
        </xdr:grpSpPr>
        <xdr:sp macro="" textlink="">
          <xdr:nvSpPr>
            <xdr:cNvPr id="65" name="Rectangle 64">
              <a:extLst>
                <a:ext uri="{FF2B5EF4-FFF2-40B4-BE49-F238E27FC236}">
                  <a16:creationId xmlns:a16="http://schemas.microsoft.com/office/drawing/2014/main" id="{3B328BAB-1F6E-421F-A7F0-E4A981DC1373}"/>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66" name="Rectangle 65">
              <a:extLst>
                <a:ext uri="{FF2B5EF4-FFF2-40B4-BE49-F238E27FC236}">
                  <a16:creationId xmlns:a16="http://schemas.microsoft.com/office/drawing/2014/main" id="{D90C76C8-6EAA-4D51-B778-62805203045F}"/>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67" name="Rectangle 66">
              <a:extLst>
                <a:ext uri="{FF2B5EF4-FFF2-40B4-BE49-F238E27FC236}">
                  <a16:creationId xmlns:a16="http://schemas.microsoft.com/office/drawing/2014/main" id="{73791C56-4C70-40F4-8943-96534013C290}"/>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68" name="Rectangle 67">
              <a:extLst>
                <a:ext uri="{FF2B5EF4-FFF2-40B4-BE49-F238E27FC236}">
                  <a16:creationId xmlns:a16="http://schemas.microsoft.com/office/drawing/2014/main" id="{6A601869-8E89-4DC1-8ABA-3B92B2C49806}"/>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B73D8DA5-A2E6-4197-B003-A5D31224DBB1}"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69" name="Rectangle 68">
              <a:extLst>
                <a:ext uri="{FF2B5EF4-FFF2-40B4-BE49-F238E27FC236}">
                  <a16:creationId xmlns:a16="http://schemas.microsoft.com/office/drawing/2014/main" id="{AE025938-2AC0-48BA-9C12-DDBE51C0DDAF}"/>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D2A24378-75F8-4096-9240-72A5A7E1F3BC}"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70" name="Rectangle 69">
              <a:extLst>
                <a:ext uri="{FF2B5EF4-FFF2-40B4-BE49-F238E27FC236}">
                  <a16:creationId xmlns:a16="http://schemas.microsoft.com/office/drawing/2014/main" id="{5D72B1F0-2001-4B1C-AA36-2D4A6BD4A7D1}"/>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B5BA82EF-DD0C-4101-8777-CBCE2B41DE61}"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wsDr>
</file>

<file path=xl/drawings/drawing16.xml><?xml version="1.0" encoding="UTF-8" standalone="yes"?>
<xdr:wsDr><mc:AlternateContent xmlns:mc="http://schemas.openxmlformats.org/markup-compatibility/2006"><mc:Choice xmlns:a14="http://schemas.microsoft.com/office/drawing/2010/main" Requires="a14"><xdr:twoCellAnchor editAs="oneCell"><xdr:from><xdr:col>11</xdr:col><xdr:colOff>276225</xdr:colOff><xdr:row>3</xdr:row><xdr:rowOff>133350</xdr:rowOff></xdr:from><xdr:to><xdr:col>14</xdr:col><xdr:colOff>638175</xdr:colOff><xdr:row>4</xdr:row><xdr:rowOff>180975</xdr:rowOff></xdr:to><xdr:pic><xdr:nvPicPr><xdr:cNvPr id="60" name="Picture 59"><a:extLst><a:ext uri="{FF2B5EF4-FFF2-40B4-BE49-F238E27FC236}"><a16:creationId xmlns:a16="http://schemas.microsoft.com/office/drawing/2014/main" id="{41A6C483-2C3E-49C4-AA93-541BE18C60E3}"/></a:ext></a:extLst></xdr:cNvPr><xdr:cNvPicPr><a:picLocks noChangeAspect="1" noChangeArrowheads="1"/><a:extLst><a:ext uri="{84589F7E-364E-4C9E-8A38-B11213B215E9}"><a14:cameraTool cellRange="cnfg_rf!$G$42" spid="_x0000_s16459"/></a:ext></a:extLst></xdr:cNvPicPr></xdr:nvPicPr><xdr:blipFill><a:blip xmlns:r="http://schemas.openxmlformats.org/officeDocument/2006/relationships" r:embed="rId1"/><a:srcRect/><a:stretch><a:fillRect/></a:stretch></xdr:blipFill><xdr:spPr bwMode="auto"><a:xfrm><a:off x="7448550" y="647700"/><a:ext cx="2619375" cy="285750"/></a:xfrm><a:prstGeom prst="rect"><a:avLst/></a:prstGeom><a:noFill/><a:extLst><a:ext uri="{909E8E84-426E-40DD-AFC4-6F175D3DCCD1}"><a14:hiddenFill><a:solidFill><a:srgbClr val="FFFFFF"/></a:solidFill></a14:hiddenFill></a:ext></a:extLst></xdr:spPr></xdr:pic><xdr:clientData/></xdr:twoCellAnchor></mc:Choice><mc:Fallback/></mc:AlternateContent><xdr:twoCellAnchor editAs="oneCell"><xdr:from><xdr:col>0</xdr:col><xdr:colOff>66676</xdr:colOff><xdr:row>0</xdr:row><xdr:rowOff>76201</xdr:rowOff></xdr:from><xdr:to><xdr:col>1</xdr:col><xdr:colOff>253468</xdr:colOff><xdr:row>2</xdr:row><xdr:rowOff>104776</xdr:rowOff></xdr:to><xdr:pic><xdr:nvPicPr><xdr:cNvPr id="2" name="Picture 1"><a:extLst><a:ext uri="{FF2B5EF4-FFF2-40B4-BE49-F238E27FC236}"><a16:creationId xmlns:a16="http://schemas.microsoft.com/office/drawing/2014/main" id="{4B35BE4F-B3DC-43FA-A49E-4705EDFCFB8B}"/></a:ext></a:extLst></xdr:cNvPr><xdr:cNvPicPr><a:picLocks noChangeAspect="1"/></xdr:cNvPicPr></xdr:nvPicPr><xdr:blipFill><a:blip xmlns:r="http://schemas.openxmlformats.org/officeDocument/2006/relationships" r:embed="rId2" cstate="print"><a:extLst><a:ext uri="{28A0092B-C50C-407E-A947-70E740481C1C}"><a14:useLocalDpi xmlns:a14="http://schemas.microsoft.com/office/drawing/2010/main" val="0"/></a:ext></a:extLst></a:blip><a:stretch><a:fillRect/></a:stretch></xdr:blipFill><xdr:spPr><a:xfrm><a:off x="66676" y="76201"/><a:ext cx="405867" cy="381000"/></a:xfrm><a:prstGeom prst="rect"><a:avLst/></a:prstGeom></xdr:spPr></xdr:pic><xdr:clientData/></xdr:twoCellAnchor><xdr:twoCellAnchor editAs="absolute"><xdr:from><xdr:col>1</xdr:col><xdr:colOff>323848</xdr:colOff><xdr:row>3</xdr:row><xdr:rowOff>1</xdr:rowOff></xdr:from><xdr:to><xdr:col>6</xdr:col><xdr:colOff>200025</xdr:colOff><xdr:row>5</xdr:row><xdr:rowOff>361951</xdr:rowOff></xdr:to><xdr:graphicFrame macro=""><xdr:nvGraphicFramePr><xdr:cNvPr id="4" name="Diagramm 7"><a:extLst><a:ext uri="{FF2B5EF4-FFF2-40B4-BE49-F238E27FC236}"><a16:creationId xmlns:a16="http://schemas.microsoft.com/office/drawing/2014/main" id="{7DA7489D-53C1-49B0-9BF2-533A91682CE6}"/></a:ext></a:extLst></xdr:cNvPr><xdr:cNvGraphicFramePr><a:graphicFrameLocks/></xdr:cNvGraphicFramePr></xdr:nvGraphicFramePr><xdr:xfrm><a:off x="0" y="0"/><a:ext cx="0" cy="0"/></xdr:xfrm><a:graphic><a:graphicData uri="http://schemas.openxmlformats.org/drawingml/2006/chart"><c:chart xmlns:c="http://schemas.openxmlformats.org/drawingml/2006/chart" xmlns:r="http://schemas.openxmlformats.org/officeDocument/2006/relationships" r:id="rId3"/></a:graphicData></a:graphic></xdr:graphicFrame><xdr:clientData/></xdr:twoCellAnchor><xdr:twoCellAnchor><xdr:from><xdr:col>1</xdr:col><xdr:colOff>9527</xdr:colOff><xdr:row>25</xdr:row><xdr:rowOff>76197</xdr:rowOff></xdr:from><xdr:to><xdr:col>18</xdr:col><xdr:colOff>9526</xdr:colOff><xdr:row>27</xdr:row><xdr:rowOff>295275</xdr:rowOff></xdr:to><xdr:sp macro="" textlink=""><xdr:nvSpPr><xdr:cNvPr id="12" name="Rectangle: Rounded Corners 11"><a:extLst><a:ext uri="{FF2B5EF4-FFF2-40B4-BE49-F238E27FC236}"><a16:creationId xmlns:a16="http://schemas.microsoft.com/office/drawing/2014/main" id="{FF1038DB-77FC-4E33-8F68-16C4D74E7DA7}"/></a:ext></a:extLst></xdr:cNvPr><xdr:cNvSpPr/></xdr:nvSpPr><xdr:spPr><a:xfrm><a:off x="228602" y="7429497"/><a:ext cx="12220574" cy="1009653"/></a:xfrm><a:prstGeom prst="roundRect"><a:avLst><a:gd name="adj" fmla="val 6465"/></a:avLst></a:prstGeom><a:solidFill><a:srgbClr val="FBFFFD"/></a:solidFill><a:ln><a:solidFill><a:schemeClr val="tx2"/></a:solidFill></a:ln><a:effectLst><a:outerShdw blurRad="50800" dist="38100" dir="2700000" algn="tl" rotWithShape="0"><a:prstClr val="black"><a:alpha val="40000"/></a:prstClr></a:outerShdw></a:effectLst></xdr:spPr><xdr:style><a:lnRef idx="2"><a:schemeClr val="accent1"><a:shade val="50000"/></a:schemeClr></a:lnRef><a:fillRef idx="1"><a:schemeClr val="accent1"/></a:fillRef><a:effectRef idx="0"><a:schemeClr val="accent1"/></a:effectRef><a:fontRef idx="minor"><a:schemeClr val="lt1"/></a:fontRef></xdr:style><xdr:txBody><a:bodyPr vertOverflow="clip" horzOverflow="clip" lIns="540000" rtlCol="0" anchor="t"/><a:lstStyle/><a:p><a:pPr algn="l"><a:lnSpc><a:spcPct val="130000"/></a:lnSpc><a:spcAft><a:spcPts val="1200"/></a:spcAft></a:pPr><a:r><a:rPr lang="de-DE" sz="1200" b="0" baseline="0"><a:solidFill><a:schemeClr val="tx2"/></a:solidFill><a:latin typeface="Century Gothic" panose="020B0502020202020204" pitchFamily="34" charset="0"/></a:rPr><a:t>Möchtest du verstehen, welchen </a:t></a:r><a:r><a:rPr lang="de-DE" sz="1200" b="1" baseline="0"><a:solidFill><a:schemeClr val="tx2"/></a:solidFill><a:latin typeface="Century Gothic" panose="020B0502020202020204" pitchFamily="34" charset="0"/></a:rPr><a:t>Einfluss </a:t></a:r><a:r><a:rPr lang="de-DE" sz="1200" b="0" baseline="0"><a:solidFill><a:schemeClr val="tx2"/></a:solidFill><a:latin typeface="Century Gothic" panose="020B0502020202020204" pitchFamily="34" charset="0"/></a:rPr><a:t>verschiedene </a:t></a:r><a:r><a:rPr lang="de-DE" sz="1200" b="1" baseline="0"><a:solidFill><a:schemeClr val="tx2"/></a:solidFill><a:latin typeface="Century Gothic" panose="020B0502020202020204" pitchFamily="34" charset="0"/></a:rPr><a:t>Änderungen </a:t></a:r><a:r><a:rPr lang="de-DE" sz="1200" b="0" baseline="0"><a:solidFill><a:schemeClr val="tx2"/></a:solidFill><a:latin typeface="Century Gothic" panose="020B0502020202020204" pitchFamily="34" charset="0"/></a:rPr><a:t>auf deine Berechnung haben? Dann kannst du jetzt einfach mit den Pfeilen zurückspringen und jede deiner Eingaben ändern. Oben im Ergebnis-Bereich seht du jeweils sofort die Auswirkung deiner Änderung.</a:t></a:r></a:p><a:p><a:pPr algn="l"><a:lnSpc><a:spcPct val="130000"/></a:lnSpc><a:spcAft><a:spcPts val="1200"/></a:spcAft></a:pPr><a:r><a:rPr lang="de-DE" sz="1200" b="0" baseline="0"><a:solidFill><a:schemeClr val="tx2"/></a:solidFill><a:latin typeface="Century Gothic" panose="020B0502020202020204" pitchFamily="34" charset="0"/></a:rPr><a:t>Diese Funktion kannst du zum Beispiel auch nutzen, um ein </a:t></a:r><a:r><a:rPr lang="de-DE" sz="1200" b="1" baseline="0"><a:solidFill><a:schemeClr val="tx2"/></a:solidFill><a:latin typeface="Century Gothic" panose="020B0502020202020204" pitchFamily="34" charset="0"/></a:rPr><a:t>Szenario für den Mieterwechsel </a:t></a:r><a:r><a:rPr lang="de-DE" sz="1200" b="0" baseline="0"><a:solidFill><a:schemeClr val="tx2"/></a:solidFill><a:latin typeface="Century Gothic" panose="020B0502020202020204" pitchFamily="34" charset="0"/></a:rPr><a:t>durchzurechnen.</a:t></a:r></a:p></xdr:txBody></xdr:sp><xdr:clientData/></xdr:twoCellAnchor><xdr:twoCellAnchor><xdr:from><xdr:col>10</xdr:col><xdr:colOff>114300</xdr:colOff><xdr:row>28</xdr:row><xdr:rowOff>276225</xdr:rowOff></xdr:from><xdr:to><xdr:col>12</xdr:col><xdr:colOff>304800</xdr:colOff><xdr:row>30</xdr:row><xdr:rowOff>9525</xdr:rowOff></xdr:to><xdr:sp macro="" textlink=""><xdr:nvSpPr><xdr:cNvPr id="13" name="Arrow: Right 12"><a:hlinkClick xmlns:r="http://schemas.openxmlformats.org/officeDocument/2006/relationships" r:id="rId4"/><a:extLst><a:ext uri="{FF2B5EF4-FFF2-40B4-BE49-F238E27FC236}"><a16:creationId xmlns:a16="http://schemas.microsoft.com/office/drawing/2014/main" id="{22D01C10-A09B-45EC-AF31-891BD01CD05E}"/></a:ext></a:extLst></xdr:cNvPr><xdr:cNvSpPr/></xdr:nvSpPr><xdr:spPr><a:xfrm><a:off x="6534150" y="8743950"/><a:ext cx="1695450" cy="381000"/></a:xfrm><a:prstGeom prst="rightArrow"><a:avLst><a:gd name="adj1" fmla="val 54651"/><a:gd name="adj2" fmla="val 50000"/></a:avLst></a:prstGeom><a:solidFill><a:schemeClr val="accent1"/></a:solidFill><a:ln><a:solidFill><a:schemeClr val="accent1"><a:lumMod val="50000"/></a:schemeClr></a:solidFill></a:ln><a:effectLst><a:outerShdw blurRad="50800" dist="38100" dir="2700000" algn="tl" rotWithShape="0"><a:prstClr val="black"><a:alpha val="40000"/></a:prstClr></a:outerShdw></a:effectLst></xdr:spPr><xdr:style><a:lnRef idx="2"><a:schemeClr val="accent1"><a:shade val="50000"/></a:schemeClr></a:lnRef><a:fillRef idx="1"><a:schemeClr val="accent1"/></a:fillRef><a:effectRef idx="0"><a:schemeClr val="accent1"/></a:effectRef><a:fontRef idx="minor"><a:schemeClr val="lt1"/></a:fontRef></xdr:style><xdr:txBody><a:bodyPr vertOverflow="clip" horzOverflow="clip" lIns="180000" rIns="180000" rtlCol="0" anchor="ctr"/><a:lstStyle/><a:p><a:pPr algn="ctr"/><a:r><a:rPr lang="de-DE" sz="1050"><a:latin typeface="Unit"/></a:rPr><a:t>zur Interpretation</a:t></a:r></a:p></xdr:txBody></xdr:sp><xdr:clientData/></xdr:twoCellAnchor><xdr:twoCellAnchor editAs="absolute"><xdr:from><xdr:col>6</xdr:col><xdr:colOff>590550</xdr:colOff><xdr:row>3</xdr:row><xdr:rowOff>138113</xdr:rowOff></xdr:from><xdr:to><xdr:col>18</xdr:col><xdr:colOff>37532</xdr:colOff><xdr:row>5</xdr:row><xdr:rowOff>241698</xdr:rowOff></xdr:to><xdr:grpSp><xdr:nvGrpSpPr><xdr:cNvPr id="14" name="Group 13"><a:extLst><a:ext uri="{FF2B5EF4-FFF2-40B4-BE49-F238E27FC236}"><a16:creationId xmlns:a16="http://schemas.microsoft.com/office/drawing/2014/main" id="{15FCD037-382A-4FA8-B07C-CB8EB973EB0C}"/></a:ext></a:extLst></xdr:cNvPr><xdr:cNvGrpSpPr/></xdr:nvGrpSpPr><xdr:grpSpPr><a:xfrm><a:off x="5302250" y="633413"/><a:ext cx="8997382" cy="560785"/><a:chOff x="4705350" y="652463"/><a:chExt cx="7771832" cy="579835"/></a:xfrm></xdr:grpSpPr><xdr:grpSp><xdr:nvGrpSpPr><xdr:cNvPr id="5" name="Group 4"><a:extLst><a:ext uri="{FF2B5EF4-FFF2-40B4-BE49-F238E27FC236}"><a16:creationId xmlns:a16="http://schemas.microsoft.com/office/drawing/2014/main" id="{D1E15239-E966-414C-B5F9-39BB6C719D5C}"/></a:ext></a:extLst></xdr:cNvPr><xdr:cNvGrpSpPr/></xdr:nvGrpSpPr><xdr:grpSpPr><a:xfrm><a:off x="4705350" y="652463"/><a:ext cx="7771832" cy="257175"/><a:chOff x="4705350" y="642938"/><a:chExt cx="7771832" cy="257175"/></a:xfrm></xdr:grpSpPr><xdr:sp macro="" textlink=""><xdr:nvSpPr><xdr:cNvPr id="6" name="Rectangle 5"><a:extLst><a:ext uri="{FF2B5EF4-FFF2-40B4-BE49-F238E27FC236}"><a16:creationId xmlns:a16="http://schemas.microsoft.com/office/drawing/2014/main" id="{C32C1DDD-841D-48D8-AEF1-D00DC31294E5}"/></a:ext></a:extLst></xdr:cNvPr><xdr:cNvSpPr/></xdr:nvSpPr><xdr:spPr><a:xfrm><a:off x="4705350" y="642938"/><a:ext cx="1800226"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r><a:rPr lang="de-DE" sz="1200"><a:solidFill><a:schemeClr val="tx2"/></a:solidFill><a:latin typeface="Century Gothic" panose="020B0502020202020204" pitchFamily="34" charset="0"/></a:rPr><a:t>Eigenkapitalbedarf:</a:t></a:r></a:p></xdr:txBody></xdr:sp><xdr:sp macro="" textlink=""><xdr:nvSpPr><xdr:cNvPr id="7" name="Rectangle 6"><a:extLst><a:ext uri="{FF2B5EF4-FFF2-40B4-BE49-F238E27FC236}"><a16:creationId xmlns:a16="http://schemas.microsoft.com/office/drawing/2014/main" id="{79EB48E5-E0AF-4AA7-B342-1D62F4305045}"/></a:ext></a:extLst></xdr:cNvPr><xdr:cNvSpPr/></xdr:nvSpPr><xdr:spPr><a:xfrm><a:off x="7434919" y="642938"/><a:ext cx="2128182"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r><a:rPr lang="de-DE" sz="1200"><a:solidFill><a:schemeClr val="tx2"/></a:solidFill><a:latin typeface="Century Gothic" panose="020B0502020202020204" pitchFamily="34" charset="0"/></a:rPr><a:t>Cashflow nach Steuern:</a:t></a:r></a:p></xdr:txBody></xdr:sp><xdr:sp macro="" textlink=""><xdr:nvSpPr><xdr:cNvPr id="8" name="Rectangle 7"><a:extLst><a:ext uri="{FF2B5EF4-FFF2-40B4-BE49-F238E27FC236}"><a16:creationId xmlns:a16="http://schemas.microsoft.com/office/drawing/2014/main" id="{FC72C598-2968-48A6-84AA-60E11DBE6D95}"/></a:ext></a:extLst></xdr:cNvPr><xdr:cNvSpPr/></xdr:nvSpPr><xdr:spPr><a:xfrm><a:off x="10359441" y="642938"/><a:ext cx="1518234"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r><a:rPr lang="de-DE" sz="1200"><a:solidFill><a:schemeClr val="tx2"/></a:solidFill><a:latin typeface="Century Gothic" panose="020B0502020202020204" pitchFamily="34" charset="0"/></a:rPr><a:t>Schuldenfrei:</a:t></a:r></a:p></xdr:txBody></xdr:sp><xdr:sp macro="" textlink="cnfg_rf!$G$7"><xdr:nvSpPr><xdr:cNvPr id="9" name="Rectangle 8"><a:extLst><a:ext uri="{FF2B5EF4-FFF2-40B4-BE49-F238E27FC236}"><a16:creationId xmlns:a16="http://schemas.microsoft.com/office/drawing/2014/main" id="{7D8299F6-0BBC-4138-A02C-EA6080398846}"/></a:ext></a:extLst></xdr:cNvPr><xdr:cNvSpPr/></xdr:nvSpPr><xdr:spPr><a:xfrm><a:off x="6276975" y="642938"/><a:ext cx="858860"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r"/><a:fld id="{5EC3382F-E5D1-4A9E-8FAE-ECF174B18616}" type="TxLink"><a:rPr lang="en-US" sz="1200" b="0" i="0" u="none" strike="noStrike"><a:solidFill><a:schemeClr val="tx2"/></a:solidFill><a:latin typeface="Century Gothic" panose="020B0502020202020204" pitchFamily="34" charset="0"/><a:cs typeface="Calibri"/></a:rPr><a:pPr algn="r"/><a:t>-</a:t></a:fld><a:endParaRPr lang="en-US" sz="1200"><a:solidFill><a:schemeClr val="tx2"/></a:solidFill><a:latin typeface="Century Gothic" panose="020B0502020202020204" pitchFamily="34" charset="0"/></a:endParaRPr></a:p></xdr:txBody></xdr:sp><xdr:sp macro="" textlink="cnfg_rf!$G$10"><xdr:nvSpPr><xdr:cNvPr id="10" name="Rectangle 9"><a:extLst><a:ext uri="{FF2B5EF4-FFF2-40B4-BE49-F238E27FC236}"><a16:creationId xmlns:a16="http://schemas.microsoft.com/office/drawing/2014/main" id="{1D189B6F-8D6E-440F-94B4-7679675AB6CC}"/></a:ext></a:extLst></xdr:cNvPr><xdr:cNvSpPr/></xdr:nvSpPr><xdr:spPr><a:xfrm><a:off x="9239250" y="642938"/><a:ext cx="823703"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r"/><a:fld id="{09976595-EDCF-4DE7-9AF9-70899FB7BEBE}" type="TxLink"><a:rPr lang="en-US" sz="1200" b="0" i="0" u="none" strike="noStrike"><a:solidFill><a:schemeClr val="tx2"/></a:solidFill><a:latin typeface="Century Gothic" panose="020B0502020202020204" pitchFamily="34" charset="0"/><a:cs typeface="Calibri"/></a:rPr><a:pPr algn="r"/><a:t>-</a:t></a:fld><a:endParaRPr lang="de-DE" sz="1200"><a:solidFill><a:schemeClr val="tx2"/></a:solidFill><a:latin typeface="Century Gothic" panose="020B0502020202020204" pitchFamily="34" charset="0"/></a:endParaRPr></a:p></xdr:txBody></xdr:sp><xdr:sp macro="" textlink="cnfg_rf!$G$8"><xdr:nvSpPr><xdr:cNvPr id="11" name="Rectangle 10"><a:extLst><a:ext uri="{FF2B5EF4-FFF2-40B4-BE49-F238E27FC236}"><a16:creationId xmlns:a16="http://schemas.microsoft.com/office/drawing/2014/main" id="{B89AE99D-243D-4200-B91B-A7B8F59B9666}"/></a:ext></a:extLst></xdr:cNvPr><xdr:cNvSpPr/></xdr:nvSpPr><xdr:spPr><a:xfrm><a:off x="11277600" y="642938"/><a:ext cx="1199582"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r"/><a:fld id="{2D3AA434-AF0F-4867-9F13-71C475A3BC4A}" type="TxLink"><a:rPr lang="en-US" sz="1200" b="0" i="0" u="none" strike="noStrike"><a:solidFill><a:schemeClr val="tx2"/></a:solidFill><a:latin typeface="Century Gothic" panose="020B0502020202020204" pitchFamily="34" charset="0"/><a:cs typeface="Calibri"/></a:rPr><a:pPr algn="r"/><a:t>-</a:t></a:fld><a:endParaRPr lang="de-DE" sz="1200"><a:solidFill><a:schemeClr val="tx2"/></a:solidFill><a:latin typeface="Century Gothic" panose="020B0502020202020204" pitchFamily="34" charset="0"/></a:endParaRPr></a:p></xdr:txBody></xdr:sp></xdr:grpSp><xdr:grpSp><xdr:nvGrpSpPr><xdr:cNvPr id="30" name="Group 29"><a:extLst><a:ext uri="{FF2B5EF4-FFF2-40B4-BE49-F238E27FC236}"><a16:creationId xmlns:a16="http://schemas.microsoft.com/office/drawing/2014/main" id="{8C2DCC5A-7213-4339-96C8-2F7F18AD3AA5}"/></a:ext></a:extLst></xdr:cNvPr><xdr:cNvGrpSpPr/></xdr:nvGrpSpPr><xdr:grpSpPr><a:xfrm><a:off x="4705350" y="975123"/><a:ext cx="7771832" cy="257175"/><a:chOff x="4705350" y="975123"/><a:chExt cx="7771832" cy="257175"/></a:xfrm></xdr:grpSpPr><xdr:sp macro="" textlink=""><xdr:nvSpPr><xdr:cNvPr id="31" name="Rectangle 30"><a:extLst><a:ext uri="{FF2B5EF4-FFF2-40B4-BE49-F238E27FC236}"><a16:creationId xmlns:a16="http://schemas.microsoft.com/office/drawing/2014/main" id="{FB198F08-CBBB-4BB0-A5AC-D88B63CABFD4}"/></a:ext></a:extLst></xdr:cNvPr><xdr:cNvSpPr/></xdr:nvSpPr><xdr:spPr><a:xfrm><a:off x="4705350" y="975123"/><a:ext cx="1800226"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r><a:rPr lang="de-DE" sz="1200"><a:solidFill><a:schemeClr val="tx2"/></a:solidFill><a:latin typeface="Century Gothic" panose="020B0502020202020204" pitchFamily="34" charset="0"/></a:rPr><a:t>Cashflow vor Steuern:</a:t></a:r></a:p></xdr:txBody></xdr:sp><xdr:sp macro="" textlink="calc_rf!$B$9"><xdr:nvSpPr><xdr:cNvPr id="32" name="Rectangle 31"><a:extLst><a:ext uri="{FF2B5EF4-FFF2-40B4-BE49-F238E27FC236}"><a16:creationId xmlns:a16="http://schemas.microsoft.com/office/drawing/2014/main" id="{9CF48159-E18A-4E57-8AD5-E2F823A1BBDA}"/></a:ext></a:extLst></xdr:cNvPr><xdr:cNvSpPr/></xdr:nvSpPr><xdr:spPr><a:xfrm><a:off x="7434919" y="975123"/><a:ext cx="2128182"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fld id="{5C64DFFA-D33A-402A-A0A0-50A628B83CE7}" type="TxLink"><a:rPr lang="en-US" sz="1200" b="0" i="0" u="none" strike="noStrike"><a:solidFill><a:schemeClr val="tx2"/></a:solidFill><a:latin typeface="Century Gothic" panose="020B0502020202020204" pitchFamily="34" charset="0"/><a:cs typeface="Calibri"/></a:rPr><a:pPr algn="l"/><a:t>Gleiche Rate in 1 Jahr:</a:t></a:fld><a:endParaRPr lang="de-DE" sz="1200"><a:solidFill><a:schemeClr val="tx2"/></a:solidFill><a:latin typeface="Century Gothic" panose="020B0502020202020204" pitchFamily="34" charset="0"/></a:endParaRPr></a:p></xdr:txBody></xdr:sp><xdr:sp macro="" textlink=""><xdr:nvSpPr><xdr:cNvPr id="33" name="Rectangle 32"><a:extLst><a:ext uri="{FF2B5EF4-FFF2-40B4-BE49-F238E27FC236}"><a16:creationId xmlns:a16="http://schemas.microsoft.com/office/drawing/2014/main" id="{A2688A29-2EF2-409F-B2FA-5C322D73FAD5}"/></a:ext></a:extLst></xdr:cNvPr><xdr:cNvSpPr/></xdr:nvSpPr><xdr:spPr><a:xfrm><a:off x="10359441" y="975123"/><a:ext cx="1518234"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r><a:rPr lang="de-DE" sz="1200"><a:solidFill><a:schemeClr val="tx2"/></a:solidFill><a:latin typeface="Century Gothic" panose="020B0502020202020204" pitchFamily="34" charset="0"/></a:rPr><a:t>Zusätzliche Rente:</a:t></a:r></a:p></xdr:txBody></xdr:sp><xdr:sp macro="" textlink="cnfg_rf!$G$9"><xdr:nvSpPr><xdr:cNvPr id="34" name="Rectangle 33"><a:extLst><a:ext uri="{FF2B5EF4-FFF2-40B4-BE49-F238E27FC236}"><a16:creationId xmlns:a16="http://schemas.microsoft.com/office/drawing/2014/main" id="{73C7A7A4-DB58-4A77-B214-E0F5135D8FF3}"/></a:ext></a:extLst></xdr:cNvPr><xdr:cNvSpPr/></xdr:nvSpPr><xdr:spPr><a:xfrm><a:off x="6343650" y="975123"/><a:ext cx="801183"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r"/><a:fld id="{4F81CC35-1D89-4B60-8D84-7DDE04A0D1E0}" type="TxLink"><a:rPr lang="en-US" sz="1200" b="0" i="0" u="none" strike="noStrike"><a:solidFill><a:schemeClr val="tx2"/></a:solidFill><a:latin typeface="Century Gothic" panose="020B0502020202020204" pitchFamily="34" charset="0"/><a:cs typeface="Calibri"/></a:rPr><a:pPr algn="r"/><a:t>-</a:t></a:fld><a:endParaRPr lang="de-DE" sz="1200"><a:solidFill><a:schemeClr val="tx2"/></a:solidFill><a:latin typeface="Century Gothic" panose="020B0502020202020204" pitchFamily="34" charset="0"/></a:endParaRPr></a:p></xdr:txBody></xdr:sp><xdr:sp macro="" textlink="cnfg_rf!$G$11"><xdr:nvSpPr><xdr:cNvPr id="35" name="Rectangle 34"><a:extLst><a:ext uri="{FF2B5EF4-FFF2-40B4-BE49-F238E27FC236}"><a16:creationId xmlns:a16="http://schemas.microsoft.com/office/drawing/2014/main" id="{4C48E9AD-0F84-41CE-A07C-252D7F24A9C3}"/></a:ext></a:extLst></xdr:cNvPr><xdr:cNvSpPr/></xdr:nvSpPr><xdr:spPr><a:xfrm><a:off x="11715750" y="975123"/><a:ext cx="761432"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r"/><a:fld id="{D05BC50A-5360-4B25-8F6B-4965CAEFAFA1}" type="TxLink"><a:rPr lang="en-US" sz="1200" b="0" i="0" u="none" strike="noStrike"><a:solidFill><a:schemeClr val="tx2"/></a:solidFill><a:latin typeface="Century Gothic" panose="020B0502020202020204" pitchFamily="34" charset="0"/><a:cs typeface="Calibri"/></a:rPr><a:pPr algn="r"/><a:t>-</a:t></a:fld><a:endParaRPr lang="en-US" sz="1200" b="0" i="0" u="none" strike="noStrike"><a:solidFill><a:schemeClr val="tx2"/></a:solidFill><a:latin typeface="Century Gothic" panose="020B0502020202020204" pitchFamily="34" charset="0"/></a:endParaRPr></a:p></xdr:txBody></xdr:sp><xdr:sp macro="" textlink="cnfg_rf!$G$12"><xdr:nvSpPr><xdr:cNvPr id="36" name="Rectangle 35"><a:extLst><a:ext uri="{FF2B5EF4-FFF2-40B4-BE49-F238E27FC236}"><a16:creationId xmlns:a16="http://schemas.microsoft.com/office/drawing/2014/main" id="{8C0E3764-2147-4C31-BA5F-595A9222914E}"/></a:ext></a:extLst></xdr:cNvPr><xdr:cNvSpPr/></xdr:nvSpPr><xdr:spPr><a:xfrm><a:off x="9296400" y="975123"/><a:ext cx="766553" cy="25717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r"/><a:fld id="{FA69A1D5-9C77-4973-B148-FA29D405590E}" type="TxLink"><a:rPr lang="en-US" sz="1200" b="0" i="0" u="none" strike="noStrike"><a:solidFill><a:schemeClr val="tx2"/></a:solidFill><a:latin typeface="Century Gothic" panose="020B0502020202020204" pitchFamily="34" charset="0"/><a:cs typeface="Calibri"/></a:rPr><a:pPr algn="r"/><a:t>-</a:t></a:fld><a:endParaRPr lang="en-US" sz="1200" b="0" i="0" u="none" strike="noStrike"><a:solidFill><a:schemeClr val="tx2"/></a:solidFill><a:latin typeface="Century Gothic" panose="020B0502020202020204" pitchFamily="34" charset="0"/><a:cs typeface="Calibri"/></a:endParaRPr></a:p></xdr:txBody></xdr:sp></xdr:grpSp></xdr:grpSp><xdr:clientData/></xdr:twoCellAnchor><xdr:twoCellAnchor><xdr:from><xdr:col>6</xdr:col><xdr:colOff>352425</xdr:colOff><xdr:row>28</xdr:row><xdr:rowOff>276225</xdr:rowOff></xdr:from><xdr:to><xdr:col>9</xdr:col><xdr:colOff>495450</xdr:colOff><xdr:row>30</xdr:row><xdr:rowOff>9525</xdr:rowOff></xdr:to><xdr:sp macro="" textlink=""><xdr:nvSpPr><xdr:cNvPr id="37" name="Arrow: Right 36"><a:hlinkClick xmlns:r="http://schemas.openxmlformats.org/officeDocument/2006/relationships" r:id="rId5"/><a:extLst><a:ext uri="{FF2B5EF4-FFF2-40B4-BE49-F238E27FC236}"><a16:creationId xmlns:a16="http://schemas.microsoft.com/office/drawing/2014/main" id="{4C527C95-300E-4B8F-9A5E-45C5365EB108}"/></a:ext></a:extLst></xdr:cNvPr><xdr:cNvSpPr/></xdr:nvSpPr><xdr:spPr><a:xfrm flipH="1"><a:off x="4467225" y="8743950"/><a:ext cx="1695600" cy="381000"/></a:xfrm><a:prstGeom prst="rightArrow"><a:avLst><a:gd name="adj1" fmla="val 54651"/><a:gd name="adj2" fmla="val 50000"/></a:avLst></a:prstGeom><a:solidFill><a:schemeClr val="accent1"/></a:solidFill><a:ln><a:solidFill><a:schemeClr val="accent1"><a:lumMod val="50000"/></a:schemeClr></a:solidFill></a:ln><a:effectLst><a:outerShdw blurRad="50800" dist="38100" dir="2700000" algn="tl" rotWithShape="0"><a:prstClr val="black"><a:alpha val="40000"/></a:prstClr></a:outerShdw></a:effectLst></xdr:spPr><xdr:style><a:lnRef idx="2"><a:schemeClr val="accent1"><a:shade val="50000"/></a:schemeClr></a:lnRef><a:fillRef idx="1"><a:schemeClr val="accent1"/></a:fillRef><a:effectRef idx="0"><a:schemeClr val="accent1"/></a:effectRef><a:fontRef idx="minor"><a:schemeClr val="lt1"/></a:fontRef></xdr:style><xdr:txBody><a:bodyPr vertOverflow="clip" horzOverflow="clip" lIns="180000" rIns="180000" rtlCol="0" anchor="ctr"/><a:lstStyle/><a:p><a:pPr algn="ctr"/><a:r><a:rPr lang="de-DE" sz="1050"><a:latin typeface="Unit"/></a:rPr><a:t>zurück</a:t></a:r></a:p></xdr:txBody></xdr:sp><xdr:clientData/></xdr:twoCellAnchor><xdr:twoCellAnchor editAs="absolute"><xdr:from><xdr:col>4</xdr:col><xdr:colOff>85725</xdr:colOff><xdr:row>0</xdr:row><xdr:rowOff>133350</xdr:rowOff></xdr:from><xdr:to><xdr:col>18</xdr:col><xdr:colOff>76200</xdr:colOff><xdr:row>2</xdr:row><xdr:rowOff>29325</xdr:rowOff></xdr:to><xdr:grpSp><xdr:nvGrpSpPr><xdr:cNvPr id="41" name="Group 40"><a:extLst><a:ext uri="{FF2B5EF4-FFF2-40B4-BE49-F238E27FC236}"><a16:creationId xmlns:a16="http://schemas.microsoft.com/office/drawing/2014/main" id="{3472C540-AC63-491D-A369-9226C7DC093D}"/></a:ext></a:extLst></xdr:cNvPr><xdr:cNvGrpSpPr/></xdr:nvGrpSpPr><xdr:grpSpPr><a:xfrm><a:off x="3375025" y="133350"/><a:ext cx="10963275" cy="238875"/><a:chOff x="2952750" y="137737"/><a:chExt cx="9563100" cy="248400"/></a:xfrm></xdr:grpSpPr><xdr:sp macro="" textlink=""><xdr:nvSpPr><xdr:cNvPr id="42" name="Rectangle 41"><a:hlinkClick xmlns:r="http://schemas.openxmlformats.org/officeDocument/2006/relationships" r:id="rId6"/><a:extLst><a:ext uri="{FF2B5EF4-FFF2-40B4-BE49-F238E27FC236}"><a16:creationId xmlns:a16="http://schemas.microsoft.com/office/drawing/2014/main" id="{F3E022DC-EB4C-4B9A-A220-392182F8539F}"/></a:ext></a:extLst></xdr:cNvPr><xdr:cNvSpPr/></xdr:nvSpPr><xdr:spPr><a:xfrm><a:off x="5092994" y="138112"/><a:ext cx="1172371"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 u="none"><a:solidFill><a:schemeClr val="bg1"/></a:solidFill><a:latin typeface="+mn-lt"/></a:rPr><a:t>Kaufnebenkosten</a:t></a:r></a:p></xdr:txBody></xdr:sp><xdr:sp macro="" textlink=""><xdr:nvSpPr><xdr:cNvPr id="43" name="Rectangle 42"><a:hlinkClick xmlns:r="http://schemas.openxmlformats.org/officeDocument/2006/relationships" r:id="rId7"/><a:extLst><a:ext uri="{FF2B5EF4-FFF2-40B4-BE49-F238E27FC236}"><a16:creationId xmlns:a16="http://schemas.microsoft.com/office/drawing/2014/main" id="{7E2310F7-B7DF-45A8-8D8F-70E90FC3A332}"/></a:ext></a:extLst></xdr:cNvPr><xdr:cNvSpPr/></xdr:nvSpPr><xdr:spPr><a:xfrm><a:off x="6433300" y="138112"/><a:ext cx="879674"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 u="none"><a:solidFill><a:schemeClr val="bg1"/></a:solidFill><a:latin typeface="+mn-lt"/></a:rPr><a:t>Maßnahmen</a:t></a:r></a:p></xdr:txBody></xdr:sp><xdr:sp macro="" textlink=""><xdr:nvSpPr><xdr:cNvPr id="44" name="Rectangle 43"><a:hlinkClick xmlns:r="http://schemas.openxmlformats.org/officeDocument/2006/relationships" r:id="rId8"/><a:extLst><a:ext uri="{FF2B5EF4-FFF2-40B4-BE49-F238E27FC236}"><a16:creationId xmlns:a16="http://schemas.microsoft.com/office/drawing/2014/main" id="{5341AD6C-2433-415C-90D8-958558EA00EE}"/></a:ext></a:extLst></xdr:cNvPr><xdr:cNvSpPr/></xdr:nvSpPr><xdr:spPr><a:xfrm><a:off x="7480909" y="138112"/><a:ext cx="884645"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 u="none"><a:solidFill><a:schemeClr val="bg1"/></a:solidFill><a:latin typeface="+mn-lt"/></a:rPr><a:t>Finanzierung</a:t></a:r></a:p></xdr:txBody></xdr:sp><xdr:sp macro="" textlink=""><xdr:nvSpPr><xdr:cNvPr id="45" name="Rectangle 44"><a:hlinkClick xmlns:r="http://schemas.openxmlformats.org/officeDocument/2006/relationships" r:id="rId9"/><a:extLst><a:ext uri="{FF2B5EF4-FFF2-40B4-BE49-F238E27FC236}"><a16:creationId xmlns:a16="http://schemas.microsoft.com/office/drawing/2014/main" id="{88D2B678-A597-4148-8A43-0586271084E2}"/></a:ext></a:extLst></xdr:cNvPr><xdr:cNvSpPr/></xdr:nvSpPr><xdr:spPr><a:xfrm><a:off x="8533489" y="138112"/><a:ext cx="1392159"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 u="none"><a:solidFill><a:schemeClr val="bg1"/></a:solidFill><a:latin typeface="+mn-lt"/></a:rPr><a:t>Hausgeld &amp;</a:t></a:r><a:r><a:rPr lang="de-DE" sz="1050" u="none" baseline="0"><a:solidFill><a:schemeClr val="bg1"/></a:solidFill><a:latin typeface="+mn-lt"/></a:rPr><a:t> Rücklagen</a:t></a:r><a:endParaRPr lang="de-DE" sz="1050" u="none"><a:solidFill><a:schemeClr val="bg1"/></a:solidFill><a:latin typeface="+mn-lt"/></a:endParaRPr></a:p></xdr:txBody></xdr:sp><xdr:sp macro="" textlink=""><xdr:nvSpPr><xdr:cNvPr id="46" name="Rectangle 45"><a:hlinkClick xmlns:r="http://schemas.openxmlformats.org/officeDocument/2006/relationships" r:id="rId10"/><a:extLst><a:ext uri="{FF2B5EF4-FFF2-40B4-BE49-F238E27FC236}"><a16:creationId xmlns:a16="http://schemas.microsoft.com/office/drawing/2014/main" id="{759B1417-FC39-4E18-A23F-2653B975CC96}"/></a:ext></a:extLst></xdr:cNvPr><xdr:cNvSpPr/></xdr:nvSpPr><xdr:spPr><a:xfrm><a:off x="10093583" y="138112"/><a:ext cx="712807"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 u="none"><a:solidFill><a:schemeClr val="bg1"/></a:solidFill><a:latin typeface="+mn-lt"/></a:rPr><a:t>Zinsrisiko</a:t></a:r></a:p></xdr:txBody></xdr:sp><xdr:sp macro="" textlink=""><xdr:nvSpPr><xdr:cNvPr id="47" name="Rectangle 46"><a:hlinkClick xmlns:r="http://schemas.openxmlformats.org/officeDocument/2006/relationships" r:id="rId11"/><a:extLst><a:ext uri="{FF2B5EF4-FFF2-40B4-BE49-F238E27FC236}"><a16:creationId xmlns:a16="http://schemas.microsoft.com/office/drawing/2014/main" id="{9F61C821-F220-470F-8F68-7A6D1A156B78}"/></a:ext></a:extLst></xdr:cNvPr><xdr:cNvSpPr/></xdr:nvSpPr><xdr:spPr><a:xfrm><a:off x="10974325" y="138112"/><a:ext cx="659221"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 u="none"><a:solidFill><a:schemeClr val="bg1"/></a:solidFill><a:latin typeface="+mn-lt"/><a:cs typeface="Calibri" panose="020F0502020204030204" pitchFamily="34" charset="0"/></a:rPr><a:t> </a:t></a:r><a:r><a:rPr lang="de-DE" sz="1050" u="none"><a:solidFill><a:schemeClr val="bg1"/></a:solidFill><a:latin typeface="+mn-lt"/></a:rPr><a:t>Steuern</a:t></a:r></a:p></xdr:txBody></xdr:sp><xdr:sp macro="" textlink=""><xdr:nvSpPr><xdr:cNvPr id="48" name="Rectangle 47"><a:hlinkClick xmlns:r="http://schemas.openxmlformats.org/officeDocument/2006/relationships" r:id="rId12"/><a:extLst><a:ext uri="{FF2B5EF4-FFF2-40B4-BE49-F238E27FC236}"><a16:creationId xmlns:a16="http://schemas.microsoft.com/office/drawing/2014/main" id="{FFAA40E5-F602-4643-BD68-175C6E6C4907}"/></a:ext></a:extLst></xdr:cNvPr><xdr:cNvSpPr/></xdr:nvSpPr><xdr:spPr><a:xfrm><a:off x="11801475" y="138112"/><a:ext cx="714375"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a:solidFill><a:schemeClr val="bg1"/></a:solidFill><a:latin typeface="+mn-lt"/><a:cs typeface="Calibri" panose="020F0502020204030204" pitchFamily="34" charset="0"/></a:rPr><a:t> </a:t></a:r><a:r><a:rPr lang="de-DE" sz="1050" u="sng"><a:solidFill><a:schemeClr val="bg1"/></a:solidFill><a:latin typeface="+mn-lt"/></a:rPr><a:t>Ergebnis</a:t></a:r></a:p></xdr:txBody></xdr:sp><xdr:sp macro="" textlink=""><xdr:nvSpPr><xdr:cNvPr id="49" name="Rectangle 48"><a:extLst><a:ext uri="{FF2B5EF4-FFF2-40B4-BE49-F238E27FC236}"><a16:creationId xmlns:a16="http://schemas.microsoft.com/office/drawing/2014/main" id="{21DBA094-535F-48E4-A088-6F192932462A}"/></a:ext></a:extLst></xdr:cNvPr><xdr:cNvSpPr/></xdr:nvSpPr><xdr:spPr><a:xfrm><a:off x="4849912" y="138112"/><a:ext cx="318229"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a:solidFill><a:schemeClr val="bg1"/></a:solidFill><a:latin typeface="+mn-lt"/><a:cs typeface="Calibri" panose="020F0502020204030204" pitchFamily="34" charset="0"/></a:rPr><a:t>→</a:t></a:r><a:endParaRPr lang="de-DE" sz="1050"><a:solidFill><a:schemeClr val="bg1"/></a:solidFill><a:latin typeface="+mn-lt"/></a:endParaRPr></a:p></xdr:txBody></xdr:sp><xdr:sp macro="" textlink=""><xdr:nvSpPr><xdr:cNvPr id="50" name="Rectangle 49"><a:extLst><a:ext uri="{FF2B5EF4-FFF2-40B4-BE49-F238E27FC236}"><a16:creationId xmlns:a16="http://schemas.microsoft.com/office/drawing/2014/main" id="{BD988113-C71B-4A99-9183-86C75F7BCACD}"/></a:ext></a:extLst></xdr:cNvPr><xdr:cNvSpPr/></xdr:nvSpPr><xdr:spPr><a:xfrm><a:off x="6190218" y="138112"/><a:ext cx="318229"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a:solidFill><a:schemeClr val="bg1"/></a:solidFill><a:latin typeface="+mn-lt"/><a:cs typeface="Calibri" panose="020F0502020204030204" pitchFamily="34" charset="0"/></a:rPr><a:t>→</a:t></a:r><a:endParaRPr lang="de-DE" sz="1050"><a:solidFill><a:schemeClr val="bg1"/></a:solidFill><a:latin typeface="+mn-lt"/></a:endParaRPr></a:p></xdr:txBody></xdr:sp><xdr:sp macro="" textlink=""><xdr:nvSpPr><xdr:cNvPr id="51" name="Rectangle 50"><a:extLst><a:ext uri="{FF2B5EF4-FFF2-40B4-BE49-F238E27FC236}"><a16:creationId xmlns:a16="http://schemas.microsoft.com/office/drawing/2014/main" id="{02FABD9B-8279-4B20-B395-D75CAF4860E9}"/></a:ext></a:extLst></xdr:cNvPr><xdr:cNvSpPr/></xdr:nvSpPr><xdr:spPr><a:xfrm><a:off x="7237827" y="138112"/><a:ext cx="318229"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a:solidFill><a:schemeClr val="bg1"/></a:solidFill><a:latin typeface="+mn-lt"/><a:cs typeface="Calibri" panose="020F0502020204030204" pitchFamily="34" charset="0"/></a:rPr><a:t>→</a:t></a:r><a:endParaRPr lang="de-DE" sz="1050"><a:solidFill><a:schemeClr val="bg1"/></a:solidFill><a:latin typeface="+mn-lt"/></a:endParaRPr></a:p></xdr:txBody></xdr:sp><xdr:sp macro="" textlink=""><xdr:nvSpPr><xdr:cNvPr id="52" name="Rectangle 51"><a:extLst><a:ext uri="{FF2B5EF4-FFF2-40B4-BE49-F238E27FC236}"><a16:creationId xmlns:a16="http://schemas.microsoft.com/office/drawing/2014/main" id="{5F344FD7-0086-43EE-A0D5-976582B66152}"/></a:ext></a:extLst></xdr:cNvPr><xdr:cNvSpPr/></xdr:nvSpPr><xdr:spPr><a:xfrm><a:off x="8290407" y="138112"/><a:ext cx="318229"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a:solidFill><a:schemeClr val="bg1"/></a:solidFill><a:latin typeface="+mn-lt"/><a:cs typeface="Calibri" panose="020F0502020204030204" pitchFamily="34" charset="0"/></a:rPr><a:t>→</a:t></a:r><a:endParaRPr lang="de-DE" sz="1050"><a:solidFill><a:schemeClr val="bg1"/></a:solidFill><a:latin typeface="+mn-lt"/></a:endParaRPr></a:p></xdr:txBody></xdr:sp><xdr:sp macro="" textlink=""><xdr:nvSpPr><xdr:cNvPr id="53" name="Rectangle 52"><a:extLst><a:ext uri="{FF2B5EF4-FFF2-40B4-BE49-F238E27FC236}"><a16:creationId xmlns:a16="http://schemas.microsoft.com/office/drawing/2014/main" id="{95684F74-8CCD-4645-88F7-BD420BBC0CDF}"/></a:ext></a:extLst></xdr:cNvPr><xdr:cNvSpPr/></xdr:nvSpPr><xdr:spPr><a:xfrm><a:off x="9850501" y="138112"/><a:ext cx="318229"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a:solidFill><a:schemeClr val="bg1"/></a:solidFill><a:latin typeface="+mn-lt"/><a:cs typeface="Calibri" panose="020F0502020204030204" pitchFamily="34" charset="0"/></a:rPr><a:t>→</a:t></a:r><a:endParaRPr lang="de-DE" sz="1050"><a:solidFill><a:schemeClr val="bg1"/></a:solidFill><a:latin typeface="+mn-lt"/></a:endParaRPr></a:p></xdr:txBody></xdr:sp><xdr:sp macro="" textlink=""><xdr:nvSpPr><xdr:cNvPr id="54" name="Rectangle 53"><a:extLst><a:ext uri="{FF2B5EF4-FFF2-40B4-BE49-F238E27FC236}"><a16:creationId xmlns:a16="http://schemas.microsoft.com/office/drawing/2014/main" id="{FFC1F283-7288-4018-BC82-F0E3879E0379}"/></a:ext></a:extLst></xdr:cNvPr><xdr:cNvSpPr/></xdr:nvSpPr><xdr:spPr><a:xfrm><a:off x="10731243" y="138112"/><a:ext cx="318229"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a:solidFill><a:schemeClr val="bg1"/></a:solidFill><a:latin typeface="+mn-lt"/><a:cs typeface="Calibri" panose="020F0502020204030204" pitchFamily="34" charset="0"/></a:rPr><a:t>→</a:t></a:r><a:endParaRPr lang="de-DE" sz="1050"><a:solidFill><a:schemeClr val="bg1"/></a:solidFill><a:latin typeface="+mn-lt"/></a:endParaRPr></a:p></xdr:txBody></xdr:sp><xdr:sp macro="" textlink=""><xdr:nvSpPr><xdr:cNvPr id="55" name="Rectangle 54"><a:extLst><a:ext uri="{FF2B5EF4-FFF2-40B4-BE49-F238E27FC236}"><a16:creationId xmlns:a16="http://schemas.microsoft.com/office/drawing/2014/main" id="{75CC9DB2-8AAC-4751-B1BD-2595F0B1AF6A}"/></a:ext></a:extLst></xdr:cNvPr><xdr:cNvSpPr/></xdr:nvSpPr><xdr:spPr><a:xfrm><a:off x="11558399" y="138112"/><a:ext cx="318229"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a:solidFill><a:schemeClr val="bg1"/></a:solidFill><a:latin typeface="+mn-lt"/><a:cs typeface="Calibri" panose="020F0502020204030204" pitchFamily="34" charset="0"/></a:rPr><a:t>→</a:t></a:r><a:endParaRPr lang="de-DE" sz="1050"><a:solidFill><a:schemeClr val="bg1"/></a:solidFill><a:latin typeface="+mn-lt"/></a:endParaRPr></a:p></xdr:txBody></xdr:sp><xdr:sp macro="" textlink=""><xdr:nvSpPr><xdr:cNvPr id="56" name="Rectangle: Rounded Corners 55"><a:hlinkClick xmlns:r="http://schemas.openxmlformats.org/officeDocument/2006/relationships" r:id="rId13"/><a:extLst><a:ext uri="{FF2B5EF4-FFF2-40B4-BE49-F238E27FC236}"><a16:creationId xmlns:a16="http://schemas.microsoft.com/office/drawing/2014/main" id="{95B18181-0B0F-44B2-B092-B6120F7F8EF8}"/></a:ext></a:extLst></xdr:cNvPr><xdr:cNvSpPr/></xdr:nvSpPr><xdr:spPr><a:xfrm><a:off x="3615985" y="137737"/><a:ext cx="1309074" cy="248400"/></a:xfrm><a:prstGeom prst="round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 u="none"><a:solidFill><a:schemeClr val="bg1"/></a:solidFill><a:latin typeface="+mn-lt"/></a:rPr><a:t>Kaufpreis und Miete</a:t></a:r></a:p></xdr:txBody></xdr:sp><xdr:sp macro="" textlink=""><xdr:nvSpPr><xdr:cNvPr id="57" name="Rectangle 56"><a:extLst><a:ext uri="{FF2B5EF4-FFF2-40B4-BE49-F238E27FC236}"><a16:creationId xmlns:a16="http://schemas.microsoft.com/office/drawing/2014/main" id="{2085CEE1-36B4-4AF9-95C1-765E60DB282F}"/></a:ext></a:extLst></xdr:cNvPr><xdr:cNvSpPr/></xdr:nvSpPr><xdr:spPr><a:xfrm><a:off x="3372903" y="138112"/><a:ext cx="318229" cy="2476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a:solidFill><a:schemeClr val="bg1"/></a:solidFill><a:latin typeface="+mn-lt"/><a:cs typeface="Calibri" panose="020F0502020204030204" pitchFamily="34" charset="0"/></a:rPr><a:t>→</a:t></a:r><a:endParaRPr lang="de-DE" sz="1050"><a:solidFill><a:schemeClr val="bg1"/></a:solidFill><a:latin typeface="+mn-lt"/></a:endParaRPr></a:p></xdr:txBody></xdr:sp><xdr:sp macro="" textlink=""><xdr:nvSpPr><xdr:cNvPr id="58" name="Rectangle: Rounded Corners 57"><a:hlinkClick xmlns:r="http://schemas.openxmlformats.org/officeDocument/2006/relationships" r:id="rId14"/><a:extLst><a:ext uri="{FF2B5EF4-FFF2-40B4-BE49-F238E27FC236}"><a16:creationId xmlns:a16="http://schemas.microsoft.com/office/drawing/2014/main" id="{EB27D1F8-E424-4F27-9394-73CDA4F3EC7F}"/></a:ext></a:extLst></xdr:cNvPr><xdr:cNvSpPr/></xdr:nvSpPr><xdr:spPr><a:xfrm><a:off x="2952750" y="137737"/><a:ext cx="495300" cy="248400"/></a:xfrm><a:prstGeom prst="round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r><a:rPr lang="de-DE" sz="1050" u="none"><a:solidFill><a:schemeClr val="bg1"/></a:solidFill><a:latin typeface="+mn-lt"/></a:rPr><a:t>Start</a:t></a:r></a:p></xdr:txBody></xdr:sp></xdr:grpSp><xdr:clientData/></xdr:twoCellAnchor><xdr:twoCellAnchor><xdr:from><xdr:col>1</xdr:col><xdr:colOff>9525</xdr:colOff><xdr:row>14</xdr:row><xdr:rowOff>190498</xdr:rowOff></xdr:from><xdr:to><xdr:col>17</xdr:col><xdr:colOff>752474</xdr:colOff><xdr:row>21</xdr:row><xdr:rowOff>57151</xdr:rowOff></xdr:to><xdr:sp macro="" textlink=""><xdr:nvSpPr><xdr:cNvPr id="59" name="Rectangle: Rounded Corners 58"><a:extLst><a:ext uri="{FF2B5EF4-FFF2-40B4-BE49-F238E27FC236}"><a16:creationId xmlns:a16="http://schemas.microsoft.com/office/drawing/2014/main" id="{AEFCBF41-34A8-4F4D-B2E6-132589D74B1F}"/></a:ext></a:extLst></xdr:cNvPr><xdr:cNvSpPr/></xdr:nvSpPr><xdr:spPr><a:xfrm><a:off x="228600" y="3771898"/><a:ext cx="12211049" cy="2105028"/></a:xfrm><a:prstGeom prst="roundRect"><a:avLst><a:gd name="adj" fmla="val 1797"/></a:avLst></a:prstGeom><a:solidFill><a:srgbClr val="FBFFFD"/></a:solidFill><a:ln><a:solidFill><a:schemeClr val="tx2"/></a:solidFill></a:ln><a:effectLst><a:outerShdw blurRad="50800" dist="38100" dir="2700000" algn="tl" rotWithShape="0"><a:prstClr val="black"><a:alpha val="40000"/></a:prstClr></a:outerShdw></a:effectLst></xdr:spPr><xdr:style><a:lnRef idx="2"><a:schemeClr val="accent1"><a:shade val="50000"/></a:schemeClr></a:lnRef><a:fillRef idx="1"><a:schemeClr val="accent1"/></a:fillRef><a:effectRef idx="0"><a:schemeClr val="accent1"/></a:effectRef><a:fontRef idx="minor"><a:schemeClr val="lt1"/></a:fontRef></xdr:style><xdr:txBody><a:bodyPr vertOverflow="clip" horzOverflow="clip" lIns="540000" tIns="90000" rtlCol="0" anchor="t"/><a:lstStyle/><a:p><a:pPr algn="l"><a:lnSpc><a:spcPct val="130000"/></a:lnSpc><a:spcAft><a:spcPts val="1800"/></a:spcAft></a:pPr><a:r><a:rPr lang="de-DE" sz="1200" b="0" baseline="0"><a:solidFill><a:schemeClr val="tx2"/></a:solidFill><a:latin typeface="Century Gothic" panose="020B0502020202020204" pitchFamily="34" charset="0"/></a:rPr><a:t>„Grün“ ist super. Die Wohnung zahlt sich durch die Miete von Anfang an (fast) von selbst ab. Nach kurzer Zeit bleibt wahrscheinlich schon Geld übrig. </a:t></a:r></a:p><a:p><a:pPr algn="l"><a:lnSpc><a:spcPct val="130000"/></a:lnSpc><a:spcAft><a:spcPts val="1800"/></a:spcAft></a:pPr><a:r><a:rPr lang="de-DE" sz="1200" b="0" baseline="0"><a:solidFill><a:schemeClr val="tx2"/></a:solidFill><a:latin typeface="Century Gothic" panose="020B0502020202020204" pitchFamily="34" charset="0"/></a:rPr><a:t>„Gelb“ bedeutet, dass du anfangs zwar monatlich etwas mehr drauflegen musst. Aber noch im Rahmen. Die Wohnung unterstützt dich bei deiner Altersvorsorge. Sie ist immer noch viel lukrativer als andere Anlageformen. Und du hast eine zuverlässige Rente im Alter. Wichtig bei „gelb“ ist aber, dass du dir die monatliche Zuzahlung zuverlässig leisten kannst.</a:t></a:r></a:p><a:p><a:pPr algn="l"><a:lnSpc><a:spcPct val="130000"/></a:lnSpc><a:spcAft><a:spcPts val="1800"/></a:spcAft></a:pPr><a:r><a:rPr lang="de-DE" sz="1200" b="0" baseline="0"><a:solidFill><a:schemeClr val="tx2"/></a:solidFill><a:latin typeface="Century Gothic" panose="020B0502020202020204" pitchFamily="34" charset="0"/></a:rPr><a:t>Bei „rot“ macht die Investition wenig Sinn. Du bezahlst den Kredit überwiegend aus eigener Tasche zurück. Die Mieteinnahmen der Wohnung reichen nicht für viel mehr als die Bewirtschaftungskosten und Zinsen.</a:t></a:r></a:p></xdr:txBody></xdr:sp><xdr:clientData/></xdr:twoCellAnchor><xdr:twoCellAnchor editAs="absolute"><xdr:from><xdr:col>1</xdr:col><xdr:colOff>9525</xdr:colOff><xdr:row>22</xdr:row><xdr:rowOff>57150</xdr:rowOff></xdr:from><xdr:to><xdr:col>18</xdr:col><xdr:colOff>9525</xdr:colOff><xdr:row>23</xdr:row><xdr:rowOff>276225</xdr:rowOff></xdr:to><xdr:sp macro="" textlink=""><xdr:nvSpPr><xdr:cNvPr id="61" name="Rectangle: Rounded Corners 60"><a:hlinkClick xmlns:r="http://schemas.openxmlformats.org/officeDocument/2006/relationships" r:id="rId15"/><a:extLst><a:ext uri="{FF2B5EF4-FFF2-40B4-BE49-F238E27FC236}"><a16:creationId xmlns:a16="http://schemas.microsoft.com/office/drawing/2014/main" id="{E6706CC9-4A93-4F47-BB20-42D200BB2500}"/></a:ext></a:extLst></xdr:cNvPr><xdr:cNvSpPr/></xdr:nvSpPr><xdr:spPr><a:xfrm><a:off x="228600" y="6200775"/><a:ext cx="12220575" cy="885825"/></a:xfrm><a:prstGeom prst="roundRect"><a:avLst><a:gd name="adj" fmla="val 8180"/></a:avLst></a:prstGeom><a:solidFill><a:srgbClr val="FBFFFD"/></a:solidFill><a:ln><a:solidFill><a:schemeClr val="tx2"/></a:solidFill></a:ln><a:effectLst><a:outerShdw blurRad="50800" dist="38100" dir="2700000" algn="tl" rotWithShape="0"><a:prstClr val="black"><a:alpha val="40000"/></a:prstClr></a:outerShdw></a:effectLst></xdr:spPr><xdr:style><a:lnRef idx="2"><a:schemeClr val="accent1"><a:shade val="50000"/></a:schemeClr></a:lnRef><a:fillRef idx="1"><a:schemeClr val="accent1"/></a:fillRef><a:effectRef idx="0"><a:schemeClr val="accent1"/></a:effectRef><a:fontRef idx="minor"><a:schemeClr val="lt1"/></a:fontRef></xdr:style><xdr:txBody><a:bodyPr vertOverflow="clip" horzOverflow="clip" lIns="540000" rtlCol="0" anchor="t"/><a:lstStyle/><a:p><a:pPr algn="l"><a:lnSpc><a:spcPct val="130000"/></a:lnSpc></a:pPr><a:r><a:rPr lang="de-DE" sz="1200"><a:solidFill><a:schemeClr val="tx2"/></a:solidFill><a:latin typeface="Century Gothic" panose="020B0502020202020204" pitchFamily="34" charset="0"/></a:rPr><a:t>Bitte beachte, dass auch eine Wohnung mit positivem Cashflow</a:t></a:r><a:r><a:rPr lang="de-DE" sz="1200" baseline="0"><a:solidFill><a:schemeClr val="tx2"/></a:solidFill><a:latin typeface="Century Gothic" panose="020B0502020202020204" pitchFamily="34" charset="0"/></a:rPr><a:t> (Überschuss) nicht zwingend ein guter Kauf ist. Ob eine Wohnung als Geldanlage optimal funktioniert, hängt auch von der Zukunftssicherheit des Standortes und weiteren Faktoren ab. Wir beschreiben in </a:t></a:r><a:r><a:rPr lang="de-DE" sz="1200"><a:solidFill><a:schemeClr val="tx2"/></a:solidFill><a:latin typeface="Century Gothic" panose="020B0502020202020204" pitchFamily="34" charset="0"/></a:rPr><a:t>unserer Gebrauchsanleitung</a:t></a:r><a:r><a:rPr lang="de-DE" sz="1200" baseline="0"><a:solidFill><a:schemeClr val="tx2"/></a:solidFill><a:latin typeface="Century Gothic" panose="020B0502020202020204" pitchFamily="34" charset="0"/></a:rPr><a:t> für den Wohnungskauf im Detail, wie du am Ende eine gute Kaufentscheidung treffen kannst. </a:t></a:r><a:r><a:rPr lang="de-DE" sz="1200" u="sng" baseline="0"><a:solidFill><a:schemeClr val="tx2"/></a:solidFill><a:latin typeface="Century Gothic" panose="020B0502020202020204" pitchFamily="34" charset="0"/></a:rPr><a:t>Du findest die Anleitung hier (immocation Buch).</a:t></a:r></a:p></xdr:txBody></xdr:sp><xdr:clientData/></xdr:twoCellAnchor><xdr:twoCellAnchor editAs="oneCell"><xdr:from><xdr:col>1</xdr:col><xdr:colOff>152400</xdr:colOff><xdr:row>25</xdr:row><xdr:rowOff>180975</xdr:rowOff></xdr:from><xdr:to><xdr:col>2</xdr:col><xdr:colOff>85725</xdr:colOff><xdr:row>26</xdr:row><xdr:rowOff>9525</xdr:rowOff></xdr:to><xdr:pic><xdr:nvPicPr><xdr:cNvPr id="15" name="Picture 14"><a:extLst><a:ext uri="{FF2B5EF4-FFF2-40B4-BE49-F238E27FC236}"><a16:creationId xmlns:a16="http://schemas.microsoft.com/office/drawing/2014/main" id="{E41B8C34-C607-4E7D-85A1-2C63C763A0FB}"/></a:ext></a:extLst></xdr:cNvPr><xdr:cNvPicPr><a:picLocks noChangeAspect="1"/></xdr:cNvPicPr></xdr:nvPicPr><xdr:blipFill><a:blip xmlns:r="http://schemas.openxmlformats.org/officeDocument/2006/relationships" r:embed="rId16" cstate="print"><a:extLst><a:ext uri="{28A0092B-C50C-407E-A947-70E740481C1C}"><a14:useLocalDpi xmlns:a14="http://schemas.microsoft.com/office/drawing/2010/main" val="0"/></a:ext></a:extLst></a:blip><a:stretch><a:fillRect/></a:stretch></xdr:blipFill><xdr:spPr><a:xfrm><a:off x="371475" y="7534275"/><a:ext cx="295275" cy="295275"/></a:xfrm><a:prstGeom prst="rect"><a:avLst/></a:prstGeom></xdr:spPr></xdr:pic><xdr:clientData/></xdr:twoCellAnchor><xdr:twoCellAnchor><xdr:from><xdr:col>5</xdr:col><xdr:colOff>0</xdr:colOff><xdr:row>7</xdr:row><xdr:rowOff>76200</xdr:rowOff></xdr:from><xdr:to><xdr:col>17</xdr:col><xdr:colOff>742951</xdr:colOff><xdr:row>13</xdr:row><xdr:rowOff>95250</xdr:rowOff></xdr:to><xdr:sp macro="" textlink=""><xdr:nvSpPr><xdr:cNvPr id="66" name="Rectangle: Rounded Corners 75"><a:extLst><a:ext uri="{FF2B5EF4-FFF2-40B4-BE49-F238E27FC236}"><a16:creationId xmlns:a16="http://schemas.microsoft.com/office/drawing/2014/main" id="{0994D966-545E-4A5F-8817-6DAF95360549}"/></a:ext></a:extLst></xdr:cNvPr><xdr:cNvSpPr/></xdr:nvSpPr><xdr:spPr><a:xfrm><a:off x="3971925" y="1724025"/><a:ext cx="8458201" cy="1676400"/></a:xfrm><a:prstGeom prst="roundRect"><a:avLst><a:gd name="adj" fmla="val 3635"/></a:avLst></a:prstGeom><a:solidFill><a:srgbClr val="FBFFFD"/></a:solidFill><a:ln><a:solidFill><a:schemeClr val="tx2"/></a:solidFill></a:ln><a:effectLst><a:outerShdw blurRad="50800" dist="38100" dir="2700000" algn="tl" rotWithShape="0"><a:prstClr val="black"><a:alpha val="40000"/></a:prstClr></a:outerShdw></a:effectLst></xdr:spPr><xdr:style><a:lnRef idx="2"><a:schemeClr val="accent1"><a:shade val="50000"/></a:schemeClr></a:lnRef><a:fillRef idx="1"><a:schemeClr val="accent1"/></a:fillRef><a:effectRef idx="0"><a:schemeClr val="accent1"/></a:effectRef><a:fontRef idx="minor"><a:schemeClr val="lt1"/></a:fontRef></xdr:style><xdr:txBody><a:bodyPr vertOverflow="clip" horzOverflow="clip" lIns="1800000" tIns="90000" rIns="180000" bIns="90000" rtlCol="0" anchor="t"/><a:lstStyle/><a:p><a:pPr algn="l"><a:lnSpc><a:spcPct val="130000"/></a:lnSpc><a:spcAft><a:spcPts val="1200"/></a:spcAft></a:pPr><a:endParaRPr lang="de-DE" sz="1400" b="0" baseline="0"><a:solidFill><a:schemeClr val="tx2"/></a:solidFill><a:latin typeface="Century Gothic" panose="020B0502020202020204" pitchFamily="34" charset="0"/></a:endParaRPr></a:p></xdr:txBody></xdr:sp><xdr:clientData/></xdr:twoCellAnchor><xdr:twoCellAnchor><xdr:from><xdr:col>1</xdr:col><xdr:colOff>9524</xdr:colOff><xdr:row>7</xdr:row><xdr:rowOff>76200</xdr:rowOff></xdr:from><xdr:to><xdr:col>4</xdr:col><xdr:colOff>685799</xdr:colOff><xdr:row>13</xdr:row><xdr:rowOff>114300</xdr:rowOff></xdr:to><xdr:sp macro="" textlink=""><xdr:nvSpPr><xdr:cNvPr id="67" name="Rectangle: Rounded Corners 76"><a:extLst><a:ext uri="{FF2B5EF4-FFF2-40B4-BE49-F238E27FC236}"><a16:creationId xmlns:a16="http://schemas.microsoft.com/office/drawing/2014/main" id="{E245B875-1340-4850-BEE0-2485CF33603D}"/></a:ext></a:extLst></xdr:cNvPr><xdr:cNvSpPr/></xdr:nvSpPr><xdr:spPr><a:xfrm><a:off x="228599" y="1724025"/><a:ext cx="3324225" cy="1695450"/></a:xfrm><a:prstGeom prst="roundRect"><a:avLst><a:gd name="adj" fmla="val 3635"/></a:avLst></a:prstGeom><a:solidFill><a:schemeClr val="tx2"/></a:solidFill><a:ln><a:solidFill><a:schemeClr val="tx2"/></a:solidFill></a:ln><a:effectLst><a:outerShdw blurRad="50800" dist="38100" dir="2700000" algn="tl" rotWithShape="0"><a:prstClr val="black"><a:alpha val="40000"/></a:prstClr></a:outerShdw></a:effectLst></xdr:spPr><xdr:style><a:lnRef idx="2"><a:schemeClr val="accent1"><a:shade val="50000"/></a:schemeClr></a:lnRef><a:fillRef idx="1"><a:schemeClr val="accent1"/></a:fillRef><a:effectRef idx="0"><a:schemeClr val="accent1"/></a:effectRef><a:fontRef idx="minor"><a:schemeClr val="lt1"/></a:fontRef></xdr:style><xdr:txBody><a:bodyPr vertOverflow="clip" horzOverflow="clip" lIns="180000" tIns="90000" rIns="180000" bIns="90000" rtlCol="0" anchor="t"/><a:lstStyle/><a:p><a:pPr algn="ctr"><a:lnSpc><a:spcPct val="130000"/></a:lnSpc><a:spcAft><a:spcPts val="1200"/></a:spcAft></a:pPr><a:r><a:rPr lang="de-DE" sz="1800" b="0" baseline="0"><a:solidFill><a:schemeClr val="bg1"/></a:solidFill><a:latin typeface="Century Gothic" panose="020B0502020202020204" pitchFamily="34" charset="0"/></a:rPr><a:t>Dein monatlicher Überschuss nach Steuern:</a:t></a:r><a:endParaRPr lang="de-DE" sz="3200" b="0" baseline="0"><a:solidFill><a:schemeClr val="bg1"/></a:solidFill><a:latin typeface="Century Gothic" panose="020B0502020202020204" pitchFamily="34" charset="0"/></a:endParaRPr></a:p></xdr:txBody></xdr:sp><xdr:clientData/></xdr:twoCellAnchor><xdr:twoCellAnchor><xdr:from><xdr:col>6</xdr:col><xdr:colOff>120627</xdr:colOff><xdr:row>8</xdr:row><xdr:rowOff>200029</xdr:rowOff></xdr:from><xdr:to><xdr:col>7</xdr:col><xdr:colOff>561974</xdr:colOff><xdr:row>12</xdr:row><xdr:rowOff>90396</xdr:rowOff></xdr:to><xdr:pic><xdr:nvPicPr><xdr:cNvPr id="68" name="Picture 8"><a:extLst><a:ext uri="{FF2B5EF4-FFF2-40B4-BE49-F238E27FC236}"><a16:creationId xmlns:a16="http://schemas.microsoft.com/office/drawing/2014/main" id="{0018B232-4894-421C-85E0-9EAB50B9E8E0}"/></a:ext></a:extLst></xdr:cNvPr><xdr:cNvPicPr><a:picLocks noChangeAspect="1"/></xdr:cNvPicPr></xdr:nvPicPr><xdr:blipFill><a:blip xmlns:r="http://schemas.openxmlformats.org/officeDocument/2006/relationships" r:embed="rId17"><a:extLst><a:ext uri="{28A0092B-C50C-407E-A947-70E740481C1C}"><a14:useLocalDpi xmlns:a14="http://schemas.microsoft.com/office/drawing/2010/main" val="0"/></a:ext></a:extLst></a:blip><a:stretch><a:fillRect/></a:stretch></xdr:blipFill><xdr:spPr><a:xfrm><a:off x="4235427" y="2124079"/><a:ext cx="1050947" cy="995267"/></a:xfrm><a:prstGeom prst="rect"><a:avLst/></a:prstGeom></xdr:spPr></xdr:pic><xdr:clientData/></xdr:twoCellAnchor><xdr:twoCellAnchor><xdr:from><xdr:col>2</xdr:col><xdr:colOff>628649</xdr:colOff><xdr:row>10</xdr:row><xdr:rowOff>228604</xdr:rowOff></xdr:from><xdr:to><xdr:col>3</xdr:col><xdr:colOff>647699</xdr:colOff><xdr:row>12</xdr:row><xdr:rowOff>209554</xdr:rowOff></xdr:to><xdr:sp macro="" textlink="cnfg_rf!G10"><xdr:nvSpPr><xdr:cNvPr id="69" name="Rectangle 13"><a:extLst><a:ext uri="{FF2B5EF4-FFF2-40B4-BE49-F238E27FC236}"><a16:creationId xmlns:a16="http://schemas.microsoft.com/office/drawing/2014/main" id="{9B666409-AF12-4A89-B627-F13BB08FC9E0}"/></a:ext></a:extLst></xdr:cNvPr><xdr:cNvSpPr/></xdr:nvSpPr><xdr:spPr><a:xfrm><a:off x="1209674" y="2705104"/><a:ext cx="1381125" cy="533400"/></a:xfrm><a:prstGeom prst="rect"><a:avLst/></a:prstGeom><a:solidFill><a:schemeClr val="tx2"/></a:solid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ctr"/><a:lstStyle/><a:p><a:pPr algn="ctr"/><a:fld id="{78BA56E8-6537-4455-AF18-491507FD7070}" type="TxLink"><a:rPr lang="en-US" sz="3600" b="0" i="0" u="none" strike="noStrike"><a:solidFill><a:schemeClr val="bg1"/></a:solidFill><a:latin typeface="Century Gothic" panose="020B0502020202020204" pitchFamily="34" charset="0"/><a:cs typeface="Calibri"/></a:rPr><a:pPr algn="ctr"/><a:t>-</a:t></a:fld><a:endParaRPr lang="de-DE" sz="3600"><a:solidFill><a:schemeClr val="bg1"/></a:solidFill><a:latin typeface="Century Gothic" panose="020B0502020202020204" pitchFamily="34" charset="0"/></a:endParaRPr></a:p></xdr:txBody></xdr:sp><xdr:clientData/></xdr:twoCellAnchor><xdr:twoCellAnchor><xdr:from><xdr:col>7</xdr:col><xdr:colOff>736705</xdr:colOff><xdr:row>7</xdr:row><xdr:rowOff>219079</xdr:rowOff></xdr:from><xdr:to><xdr:col>17</xdr:col><xdr:colOff>542925</xdr:colOff><xdr:row>8</xdr:row><xdr:rowOff>257179</xdr:rowOff></xdr:to><xdr:sp macro="" textlink="txt_rf!E12"><xdr:nvSpPr><xdr:cNvPr id="70" name="Rectangle 15"><a:extLst><a:ext uri="{FF2B5EF4-FFF2-40B4-BE49-F238E27FC236}"><a16:creationId xmlns:a16="http://schemas.microsoft.com/office/drawing/2014/main" id="{BB7CBFBB-E759-4ACF-B288-402954C91C24}"/></a:ext></a:extLst></xdr:cNvPr><xdr:cNvSpPr/></xdr:nvSpPr><xdr:spPr><a:xfrm><a:off x="5461105" y="1866904"/><a:ext cx="6768995" cy="314325"/></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fld id="{16CF8F4F-79B4-44F8-8A55-BCF807E14F85}" type="TxLink"><a:rPr lang="en-US" sz="1200" b="1" i="0" u="none" strike="noStrike"><a:solidFill><a:schemeClr val="tx2"/></a:solidFill><a:latin typeface="Century Gothic" panose="020B0502020202020204" pitchFamily="34" charset="0"/><a:cs typeface="Calibri"/></a:rPr><a:pPr algn="l"/><a:t> </a:t></a:fld><a:endParaRPr lang="de-DE" sz="1200" b="1"><a:solidFill><a:schemeClr val="tx2"/></a:solidFill><a:latin typeface="Century Gothic" panose="020B0502020202020204" pitchFamily="34" charset="0"/></a:endParaRPr></a:p></xdr:txBody></xdr:sp><xdr:clientData/></xdr:twoCellAnchor><xdr:twoCellAnchor><xdr:from><xdr:col>7</xdr:col><xdr:colOff>733425</xdr:colOff><xdr:row>9</xdr:row><xdr:rowOff>47629</xdr:rowOff></xdr:from><xdr:to><xdr:col>17</xdr:col><xdr:colOff>638175</xdr:colOff><xdr:row>11</xdr:row><xdr:rowOff>85729</xdr:rowOff></xdr:to><xdr:sp macro="" textlink="txt_rf!E13"><xdr:nvSpPr><xdr:cNvPr id="71" name="Rectangle 78"><a:extLst><a:ext uri="{FF2B5EF4-FFF2-40B4-BE49-F238E27FC236}"><a16:creationId xmlns:a16="http://schemas.microsoft.com/office/drawing/2014/main" id="{C7022356-D36F-4230-B082-003B439DB39E}"/></a:ext></a:extLst></xdr:cNvPr><xdr:cNvSpPr/></xdr:nvSpPr><xdr:spPr><a:xfrm><a:off x="5457825" y="2247904"/><a:ext cx="6867525" cy="5905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fld id="{29EE8973-15FF-45EC-99E4-12F2C14546C6}" type="TxLink"><a:rPr lang="en-US" sz="1200" b="0" i="0" u="none" strike="noStrike"><a:solidFill><a:schemeClr val="tx2"/></a:solidFill><a:latin typeface="Century Gothic" panose="020B0502020202020204" pitchFamily="34" charset="0"/><a:cs typeface="Calibri"/></a:rPr><a:pPr algn="l"/><a:t>Bitte fülle alle Eingabefelder, um den Cashflow nach Steuern zu berechnen.</a:t></a:fld><a:endParaRPr lang="de-DE" sz="2000" b="1"><a:solidFill><a:schemeClr val="tx2"/></a:solidFill><a:latin typeface="Century Gothic" panose="020B0502020202020204" pitchFamily="34" charset="0"/></a:endParaRPr></a:p></xdr:txBody></xdr:sp><xdr:clientData/></xdr:twoCellAnchor><xdr:twoCellAnchor><xdr:from><xdr:col>7</xdr:col><xdr:colOff>732770</xdr:colOff><xdr:row>10</xdr:row><xdr:rowOff>161929</xdr:rowOff></xdr:from><xdr:to><xdr:col>16</xdr:col><xdr:colOff>447676</xdr:colOff><xdr:row>13</xdr:row><xdr:rowOff>114304</xdr:rowOff></xdr:to><xdr:sp macro="" textlink="txt_rf!E15"><xdr:nvSpPr><xdr:cNvPr id="72" name="Rectangle 79"><a:extLst><a:ext uri="{FF2B5EF4-FFF2-40B4-BE49-F238E27FC236}"><a16:creationId xmlns:a16="http://schemas.microsoft.com/office/drawing/2014/main" id="{65440558-F676-4747-8B2E-6D28176CFBE9}"/></a:ext></a:extLst></xdr:cNvPr><xdr:cNvSpPr/></xdr:nvSpPr><xdr:spPr><a:xfrm><a:off x="5457170" y="2638429"/><a:ext cx="5925206" cy="781050"/></a:xfrm><a:prstGeom prst="rect"><a:avLst/></a:prstGeom><a:no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fld id="{3BAE3F40-08F7-4E3A-8929-93534F70FE71}" type="TxLink"><a:rPr lang="en-US" sz="1200" b="0" i="0" u="none" strike="noStrike"><a:solidFill><a:schemeClr val="tx2"/></a:solidFill><a:latin typeface="Century Gothic" panose="020B0502020202020204" pitchFamily="34" charset="0"/><a:cs typeface="Calibri"/></a:rPr><a:pPr algn="l"/><a:t> </a:t></a:fld><a:endParaRPr lang="de-DE" sz="2000" b="1"><a:solidFill><a:schemeClr val="tx2"/></a:solidFill><a:latin typeface="Century Gothic" panose="020B0502020202020204" pitchFamily="34" charset="0"/></a:endParaRPr></a:p></xdr:txBody></xdr:sp><xdr:clientData/></xdr:twoCellAnchor><xdr:twoCellAnchor><xdr:from><xdr:col>3</xdr:col><xdr:colOff>828675</xdr:colOff><xdr:row>10</xdr:row><xdr:rowOff>209550</xdr:rowOff></xdr:from><xdr:to><xdr:col>4</xdr:col><xdr:colOff>514350</xdr:colOff><xdr:row>12</xdr:row><xdr:rowOff>266700</xdr:rowOff></xdr:to><xdr:grpSp><xdr:nvGrpSpPr><xdr:cNvPr id="18" name="Group 17"><a:extLst><a:ext uri="{FF2B5EF4-FFF2-40B4-BE49-F238E27FC236}"><a16:creationId xmlns:a16="http://schemas.microsoft.com/office/drawing/2014/main" id="{62018243-EF99-48BB-9505-B132819349CD}"/></a:ext></a:extLst></xdr:cNvPr><xdr:cNvGrpSpPr/></xdr:nvGrpSpPr><xdr:grpSpPr><a:xfrm><a:off x="3063875" y="2609850"/><a:ext cx="739775" cy="590550"/><a:chOff x="2771775" y="2714625"/><a:chExt cx="609600" cy="609600"/></a:xfrm></xdr:grpSpPr><mc:AlternateContent xmlns:mc="http://schemas.openxmlformats.org/markup-compatibility/2006" xmlns:a14="http://schemas.microsoft.com/office/drawing/2010/main"><mc:Choice Requires="a14"><xdr:pic><xdr:nvPicPr><xdr:cNvPr id="62" name="Picture 61"><a:extLst><a:ext uri="{FF2B5EF4-FFF2-40B4-BE49-F238E27FC236}"><a16:creationId xmlns:a16="http://schemas.microsoft.com/office/drawing/2014/main" id="{AE7A12A4-9372-42AC-AFCA-7964A4E87FE3}"/></a:ext></a:extLst></xdr:cNvPr><xdr:cNvPicPr><a:picLocks noChangeAspect="1" noChangeArrowheads="1"/><a:extLst><a:ext uri="{84589F7E-364E-4C9E-8A38-B11213B215E9}"><a14:cameraTool cellRange="cnfg_rf!F29" spid="_x0000_s16460"/></a:ext></a:extLst></xdr:cNvPicPr></xdr:nvPicPr><xdr:blipFill><a:blip xmlns:r="http://schemas.openxmlformats.org/officeDocument/2006/relationships" r:embed="rId18"/><a:srcRect/><a:stretch><a:fillRect/></a:stretch></xdr:blipFill><xdr:spPr bwMode="auto"><a:xfrm><a:off x="2800349" y="2752725"/><a:ext cx="523875" cy="523873"/></a:xfrm><a:prstGeom prst="ellipse"><a:avLst/></a:prstGeom><a:ln w="63500" cap="rnd"><a:noFill/></a:ln><a:effectLst><a:outerShdw blurRad="381000" dist="292100" dir="5400000" sx="-80000" sy="-18000" rotWithShape="0"><a:srgbClr val="000000"><a:alpha val="22000"/></a:srgbClr></a:outerShdw></a:effectLst><a:scene3d><a:camera prst="orthographicFront"/><a:lightRig rig="contrasting" dir="t"><a:rot lat="0" lon="0" rev="3000000"/></a:lightRig></a:scene3d><a:sp3d contourW="7620"><a:bevelT w="95250" h="31750"/><a:contourClr><a:srgbClr val="333333"/></a:contourClr></a:sp3d><a:extLst><a:ext uri="{909E8E84-426E-40DD-AFC4-6F175D3DCCD1}"><a14:hiddenFill><a:solidFill><a:srgbClr val="FFFFFF"/></a:solidFill></a14:hiddenFill></a:ext></a:extLst></xdr:spPr></xdr:pic></mc:Choice><mc:Fallback xmlns=""/></mc:AlternateContent><xdr:sp macro="" textlink=""><xdr:nvSpPr><xdr:cNvPr id="3" name="Circle: Hollow 2"><a:extLst><a:ext uri="{FF2B5EF4-FFF2-40B4-BE49-F238E27FC236}"><a16:creationId xmlns:a16="http://schemas.microsoft.com/office/drawing/2014/main" id="{DAB22CBF-D850-4EE7-ADF2-137A86C40989}"/></a:ext></a:extLst></xdr:cNvPr><xdr:cNvSpPr/></xdr:nvSpPr><xdr:spPr><a:xfrm><a:off x="2771775" y="2714625"/><a:ext cx="609600" cy="609600"/></a:xfrm><a:prstGeom prst="donut"><a:avLst/></a:prstGeom><a:solidFill><a:schemeClr val="tx2"/></a:solidFill><a:ln><a:no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endParaRPr lang="de-DE" sz="1100"><a:solidFill><a:schemeClr val="tx1"/></a:solidFill></a:endParaRPr></a:p></xdr:txBody></xdr:sp></xdr:grpSp><xdr:clientData/></xdr:twoCellAnchor><xdr:twoCellAnchor><xdr:from><xdr:col>1</xdr:col><xdr:colOff>142874</xdr:colOff><xdr:row>15</xdr:row><xdr:rowOff>19050</xdr:rowOff></xdr:from><xdr:to><xdr:col>2</xdr:col><xdr:colOff>66674</xdr:colOff><xdr:row>16</xdr:row><xdr:rowOff>28575</xdr:rowOff></xdr:to><xdr:sp macro="" textlink=""><xdr:nvSpPr><xdr:cNvPr id="19" name="Oval 18"><a:extLst><a:ext uri="{FF2B5EF4-FFF2-40B4-BE49-F238E27FC236}"><a16:creationId xmlns:a16="http://schemas.microsoft.com/office/drawing/2014/main" id="{417D25CF-ACBF-40B0-95A0-CFE789B421CA}"/></a:ext></a:extLst></xdr:cNvPr><xdr:cNvSpPr><a:spLocks noChangeAspect="1"/></xdr:cNvSpPr></xdr:nvSpPr><xdr:spPr><a:xfrm><a:off x="361949" y="3876675"/><a:ext cx="285750" cy="285750"/></a:xfrm><a:prstGeom prst="ellipse"><a:avLst/></a:prstGeom><a:solidFill><a:schemeClr val="accent4"/></a:solidFill><a:ln><a:solidFill><a:schemeClr val="bg1"><a:lumMod val="75000"/></a:schemeClr></a:solid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endParaRPr lang="de-DE" sz="1100"/></a:p></xdr:txBody></xdr:sp><xdr:clientData/></xdr:twoCellAnchor><xdr:twoCellAnchor><xdr:from><xdr:col>1</xdr:col><xdr:colOff>142874</xdr:colOff><xdr:row>16</xdr:row><xdr:rowOff>238125</xdr:rowOff></xdr:from><xdr:to><xdr:col>2</xdr:col><xdr:colOff>66674</xdr:colOff><xdr:row>17</xdr:row><xdr:rowOff>247650</xdr:rowOff></xdr:to><xdr:sp macro="" textlink=""><xdr:nvSpPr><xdr:cNvPr id="63" name="Oval 62"><a:extLst><a:ext uri="{FF2B5EF4-FFF2-40B4-BE49-F238E27FC236}"><a16:creationId xmlns:a16="http://schemas.microsoft.com/office/drawing/2014/main" id="{FC96DC43-BA0C-478C-9BB8-8766F307CA57}"/></a:ext></a:extLst></xdr:cNvPr><xdr:cNvSpPr><a:spLocks noChangeAspect="1"/></xdr:cNvSpPr></xdr:nvSpPr><xdr:spPr><a:xfrm><a:off x="361949" y="4371975"/><a:ext cx="285750" cy="285750"/></a:xfrm><a:prstGeom prst="ellipse"><a:avLst/></a:prstGeom><a:solidFill><a:srgbClr val="FFFF00"/></a:solidFill><a:ln><a:solidFill><a:schemeClr val="bg1"><a:lumMod val="75000"/></a:schemeClr></a:solid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endParaRPr lang="de-DE" sz="1100"/></a:p></xdr:txBody></xdr:sp><xdr:clientData/></xdr:twoCellAnchor><xdr:twoCellAnchor><xdr:from><xdr:col>1</xdr:col><xdr:colOff>142874</xdr:colOff><xdr:row>19</xdr:row><xdr:rowOff>323850</xdr:rowOff></xdr:from><xdr:to><xdr:col>2</xdr:col><xdr:colOff>66674</xdr:colOff><xdr:row>19</xdr:row><xdr:rowOff>609600</xdr:rowOff></xdr:to><xdr:sp macro="" textlink=""><xdr:nvSpPr><xdr:cNvPr id="64" name="Oval 63"><a:extLst><a:ext uri="{FF2B5EF4-FFF2-40B4-BE49-F238E27FC236}"><a16:creationId xmlns:a16="http://schemas.microsoft.com/office/drawing/2014/main" id="{5AA5C86B-3F98-4023-BB5F-710FC7C83A51}"/></a:ext></a:extLst></xdr:cNvPr><xdr:cNvSpPr><a:spLocks noChangeAspect="1"/></xdr:cNvSpPr></xdr:nvSpPr><xdr:spPr><a:xfrm><a:off x="361949" y="5286375"/><a:ext cx="285750" cy="285750"/></a:xfrm><a:prstGeom prst="ellipse"><a:avLst/></a:prstGeom><a:solidFill><a:schemeClr val="accent1"/></a:solidFill><a:ln><a:solidFill><a:schemeClr val="bg1"><a:lumMod val="75000"/></a:schemeClr></a:solidFill></a:ln></xdr:spPr><xdr:style><a:lnRef idx="2"><a:schemeClr val="accent1"><a:shade val="50000"/></a:schemeClr></a:lnRef><a:fillRef idx="1"><a:schemeClr val="accent1"/></a:fillRef><a:effectRef idx="0"><a:schemeClr val="accent1"/></a:effectRef><a:fontRef idx="minor"><a:schemeClr val="lt1"/></a:fontRef></xdr:style><xdr:txBody><a:bodyPr vertOverflow="clip" horzOverflow="clip" rtlCol="0" anchor="t"/><a:lstStyle/><a:p><a:pPr algn="l"/><a:endParaRPr lang="de-DE" sz="1100"/></a:p></xdr:txBody></xdr:sp><xdr:clientData/></xdr:twoCellAnchor><xdr:twoCellAnchor editAs="oneCell"><xdr:from><xdr:col>1</xdr:col><xdr:colOff>152400</xdr:colOff><xdr:row>22</xdr:row><xdr:rowOff>180975</xdr:rowOff></xdr:from><xdr:to><xdr:col>2</xdr:col><xdr:colOff>95249</xdr:colOff><xdr:row>22</xdr:row><xdr:rowOff>447952</xdr:rowOff></xdr:to><xdr:pic><xdr:nvPicPr><xdr:cNvPr id="75" name="Picture 74" descr="Warnung, Vorsicht, Anmelden, Symbol"><a:extLst><a:ext uri="{FF2B5EF4-FFF2-40B4-BE49-F238E27FC236}"><a16:creationId xmlns:a16="http://schemas.microsoft.com/office/drawing/2014/main" id="{BE5BD87A-5039-40CC-9243-B2967AABD2D7}"/></a:ext></a:extLst></xdr:cNvPr><xdr:cNvPicPr><a:picLocks noChangeAspect="1" noChangeArrowheads="1"/></xdr:cNvPicPr></xdr:nvPicPr><xdr:blipFill><a:blip xmlns:r="http://schemas.openxmlformats.org/officeDocument/2006/relationships" r:embed="rId19" cstate="print"><a:extLst><a:ext uri="{28A0092B-C50C-407E-A947-70E740481C1C}"><a14:useLocalDpi xmlns:a14="http://schemas.microsoft.com/office/drawing/2010/main" val="0"/></a:ext></a:extLst></a:blip><a:srcRect/><a:stretch><a:fillRect/></a:stretch></xdr:blipFill><xdr:spPr bwMode="auto"><a:xfrm><a:off x="371475" y="6324600"/><a:ext cx="304799" cy="266977"/></a:xfrm><a:prstGeom prst="rect"><a:avLst/></a:prstGeom><a:noFill/><a:extLst><a:ext uri="{909E8E84-426E-40DD-AFC4-6F175D3DCCD1}"><a14:hiddenFill xmlns:a14="http://schemas.microsoft.com/office/drawing/2010/main"><a:solidFill><a:srgbClr val="FFFFFF"/></a:solidFill></a14:hiddenFill></a:ext></a:extLst></xdr:spPr></xdr:pic><xdr:clientData/></xdr:twoCellAnchor><xdr:twoCellAnchor editAs="oneCell"><xdr:from><xdr:col>16</xdr:col><xdr:colOff>533400</xdr:colOff><xdr:row>11</xdr:row><xdr:rowOff>190500</xdr:rowOff></xdr:from><xdr:to><xdr:col>17</xdr:col><xdr:colOff>666750</xdr:colOff><xdr:row>13</xdr:row><xdr:rowOff>15093</xdr:rowOff></xdr:to><xdr:pic><xdr:nvPicPr><xdr:cNvPr id="17" name="Picture 16"><a:hlinkClick xmlns:r="http://schemas.openxmlformats.org/officeDocument/2006/relationships" r:id="rId20"/><a:extLst><a:ext uri="{FF2B5EF4-FFF2-40B4-BE49-F238E27FC236}"><a16:creationId xmlns:a16="http://schemas.microsoft.com/office/drawing/2014/main" id="{CE56E23A-F5CA-43CD-A88D-26D9F87B5645}"/></a:ext></a:extLst></xdr:cNvPr><xdr:cNvPicPr><a:picLocks noChangeAspect="1"/></xdr:cNvPicPr></xdr:nvPicPr><xdr:blipFill><a:blip xmlns:r="http://schemas.openxmlformats.org/officeDocument/2006/relationships" r:embed="rId21"><a:extLst><a:ext uri="{28A0092B-C50C-407E-A947-70E740481C1C}"><a14:useLocalDpi xmlns:a14="http://schemas.microsoft.com/office/drawing/2010/main" val="0"/></a:ext></a:extLst></a:blip><a:stretch><a:fillRect/></a:stretch></xdr:blipFill><xdr:spPr><a:xfrm><a:off x="11468100" y="2943225"/><a:ext cx="885825" cy="377043"/></a:xfrm><a:prstGeom prst="rect"><a:avLst/></a:prstGeom></xdr:spPr></xdr:pic><xdr:clientData/></xdr:twoCellAnchor></xdr:wsDr>
</file>

<file path=xl/drawings/drawing17.xml><?xml version="1.0" encoding="utf-8"?>
<xdr:wsDr xmlns:xdr="http://schemas.openxmlformats.org/drawingml/2006/spreadsheetDrawing" xmlns:a="http://schemas.openxmlformats.org/drawingml/2006/main">
  <xdr:twoCellAnchor>
    <xdr:from>
      <xdr:col>15</xdr:col>
      <xdr:colOff>190501</xdr:colOff>
      <xdr:row>4</xdr:row>
      <xdr:rowOff>209550</xdr:rowOff>
    </xdr:from>
    <xdr:to>
      <xdr:col>18</xdr:col>
      <xdr:colOff>9526</xdr:colOff>
      <xdr:row>5</xdr:row>
      <xdr:rowOff>257175</xdr:rowOff>
    </xdr:to>
    <xdr:sp macro="" textlink="">
      <xdr:nvSpPr>
        <xdr:cNvPr id="49" name="Rectangle 48">
          <a:extLst>
            <a:ext uri="{FF2B5EF4-FFF2-40B4-BE49-F238E27FC236}">
              <a16:creationId xmlns:a16="http://schemas.microsoft.com/office/drawing/2014/main" id="{3523B304-849F-4D18-9ADE-E03733007B0D}"/>
            </a:ext>
          </a:extLst>
        </xdr:cNvPr>
        <xdr:cNvSpPr/>
      </xdr:nvSpPr>
      <xdr:spPr>
        <a:xfrm>
          <a:off x="10372726" y="962025"/>
          <a:ext cx="2076450" cy="285750"/>
        </a:xfrm>
        <a:prstGeom prst="rect">
          <a:avLst/>
        </a:prstGeom>
        <a:solidFill>
          <a:schemeClr val="bg1"/>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15</xdr:col>
      <xdr:colOff>190501</xdr:colOff>
      <xdr:row>3</xdr:row>
      <xdr:rowOff>123825</xdr:rowOff>
    </xdr:from>
    <xdr:to>
      <xdr:col>18</xdr:col>
      <xdr:colOff>9526</xdr:colOff>
      <xdr:row>4</xdr:row>
      <xdr:rowOff>171450</xdr:rowOff>
    </xdr:to>
    <xdr:sp macro="" textlink="">
      <xdr:nvSpPr>
        <xdr:cNvPr id="48" name="Rectangle 47">
          <a:extLst>
            <a:ext uri="{FF2B5EF4-FFF2-40B4-BE49-F238E27FC236}">
              <a16:creationId xmlns:a16="http://schemas.microsoft.com/office/drawing/2014/main" id="{70C1D04D-F107-4148-B91C-36B142D63720}"/>
            </a:ext>
          </a:extLst>
        </xdr:cNvPr>
        <xdr:cNvSpPr/>
      </xdr:nvSpPr>
      <xdr:spPr>
        <a:xfrm>
          <a:off x="10372726" y="638175"/>
          <a:ext cx="2076450" cy="285750"/>
        </a:xfrm>
        <a:prstGeom prst="rect">
          <a:avLst/>
        </a:prstGeom>
        <a:solidFill>
          <a:schemeClr val="bg1"/>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11</xdr:col>
      <xdr:colOff>285749</xdr:colOff>
      <xdr:row>4</xdr:row>
      <xdr:rowOff>209550</xdr:rowOff>
    </xdr:from>
    <xdr:to>
      <xdr:col>14</xdr:col>
      <xdr:colOff>619125</xdr:colOff>
      <xdr:row>5</xdr:row>
      <xdr:rowOff>257175</xdr:rowOff>
    </xdr:to>
    <xdr:sp macro="" textlink="">
      <xdr:nvSpPr>
        <xdr:cNvPr id="47" name="Rectangle 46">
          <a:extLst>
            <a:ext uri="{FF2B5EF4-FFF2-40B4-BE49-F238E27FC236}">
              <a16:creationId xmlns:a16="http://schemas.microsoft.com/office/drawing/2014/main" id="{2354E583-2C9B-4DA3-B57F-1C1E180DA9BC}"/>
            </a:ext>
          </a:extLst>
        </xdr:cNvPr>
        <xdr:cNvSpPr/>
      </xdr:nvSpPr>
      <xdr:spPr>
        <a:xfrm>
          <a:off x="7458074" y="962025"/>
          <a:ext cx="2590801" cy="285750"/>
        </a:xfrm>
        <a:prstGeom prst="rect">
          <a:avLst/>
        </a:prstGeom>
        <a:solidFill>
          <a:schemeClr val="bg1"/>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6</xdr:col>
      <xdr:colOff>600075</xdr:colOff>
      <xdr:row>3</xdr:row>
      <xdr:rowOff>123825</xdr:rowOff>
    </xdr:from>
    <xdr:to>
      <xdr:col>10</xdr:col>
      <xdr:colOff>714375</xdr:colOff>
      <xdr:row>4</xdr:row>
      <xdr:rowOff>171450</xdr:rowOff>
    </xdr:to>
    <xdr:sp macro="" textlink="">
      <xdr:nvSpPr>
        <xdr:cNvPr id="4" name="Rectangle 3">
          <a:extLst>
            <a:ext uri="{FF2B5EF4-FFF2-40B4-BE49-F238E27FC236}">
              <a16:creationId xmlns:a16="http://schemas.microsoft.com/office/drawing/2014/main" id="{2F651444-E1BF-447D-ABCA-28A03BF8981D}"/>
            </a:ext>
          </a:extLst>
        </xdr:cNvPr>
        <xdr:cNvSpPr/>
      </xdr:nvSpPr>
      <xdr:spPr>
        <a:xfrm>
          <a:off x="4714875" y="638175"/>
          <a:ext cx="2419350" cy="285750"/>
        </a:xfrm>
        <a:prstGeom prst="rect">
          <a:avLst/>
        </a:prstGeom>
        <a:solidFill>
          <a:schemeClr val="bg1"/>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88788C45-F71E-4B2C-A71D-63C15447D8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3" name="Diagramm 7">
          <a:extLst>
            <a:ext uri="{FF2B5EF4-FFF2-40B4-BE49-F238E27FC236}">
              <a16:creationId xmlns:a16="http://schemas.microsoft.com/office/drawing/2014/main" id="{F86BBB74-D1FC-4901-986D-5B6665527F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114300</xdr:colOff>
      <xdr:row>22</xdr:row>
      <xdr:rowOff>342900</xdr:rowOff>
    </xdr:from>
    <xdr:to>
      <xdr:col>12</xdr:col>
      <xdr:colOff>304800</xdr:colOff>
      <xdr:row>23</xdr:row>
      <xdr:rowOff>57150</xdr:rowOff>
    </xdr:to>
    <xdr:sp macro="" textlink="">
      <xdr:nvSpPr>
        <xdr:cNvPr id="5" name="Arrow: Right 4">
          <a:hlinkClick xmlns:r="http://schemas.openxmlformats.org/officeDocument/2006/relationships" r:id="rId3"/>
          <a:extLst>
            <a:ext uri="{FF2B5EF4-FFF2-40B4-BE49-F238E27FC236}">
              <a16:creationId xmlns:a16="http://schemas.microsoft.com/office/drawing/2014/main" id="{54F5D1C4-7813-4AD2-A93D-4B94E0FC85E0}"/>
            </a:ext>
          </a:extLst>
        </xdr:cNvPr>
        <xdr:cNvSpPr/>
      </xdr:nvSpPr>
      <xdr:spPr>
        <a:xfrm>
          <a:off x="6534150" y="648652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weiter</a:t>
          </a:r>
        </a:p>
      </xdr:txBody>
    </xdr:sp>
    <xdr:clientData/>
  </xdr:twoCellAnchor>
  <xdr:twoCellAnchor editAs="absolute">
    <xdr:from>
      <xdr:col>6</xdr:col>
      <xdr:colOff>590550</xdr:colOff>
      <xdr:row>3</xdr:row>
      <xdr:rowOff>138113</xdr:rowOff>
    </xdr:from>
    <xdr:to>
      <xdr:col>18</xdr:col>
      <xdr:colOff>37532</xdr:colOff>
      <xdr:row>5</xdr:row>
      <xdr:rowOff>241698</xdr:rowOff>
    </xdr:to>
    <xdr:grpSp>
      <xdr:nvGrpSpPr>
        <xdr:cNvPr id="6" name="Group 5">
          <a:extLst>
            <a:ext uri="{FF2B5EF4-FFF2-40B4-BE49-F238E27FC236}">
              <a16:creationId xmlns:a16="http://schemas.microsoft.com/office/drawing/2014/main" id="{F51FC55A-D1A1-41F9-9D1B-CF2009F7B74B}"/>
            </a:ext>
          </a:extLst>
        </xdr:cNvPr>
        <xdr:cNvGrpSpPr/>
      </xdr:nvGrpSpPr>
      <xdr:grpSpPr>
        <a:xfrm>
          <a:off x="5302250" y="633413"/>
          <a:ext cx="8997382" cy="560785"/>
          <a:chOff x="4705350" y="652463"/>
          <a:chExt cx="7771832" cy="579835"/>
        </a:xfrm>
      </xdr:grpSpPr>
      <xdr:grpSp>
        <xdr:nvGrpSpPr>
          <xdr:cNvPr id="7" name="Group 6">
            <a:extLst>
              <a:ext uri="{FF2B5EF4-FFF2-40B4-BE49-F238E27FC236}">
                <a16:creationId xmlns:a16="http://schemas.microsoft.com/office/drawing/2014/main" id="{4CDEAC66-2CD9-464E-936F-52CCB48ED3FD}"/>
              </a:ext>
            </a:extLst>
          </xdr:cNvPr>
          <xdr:cNvGrpSpPr/>
        </xdr:nvGrpSpPr>
        <xdr:grpSpPr>
          <a:xfrm>
            <a:off x="4705350" y="652463"/>
            <a:ext cx="7771832" cy="257175"/>
            <a:chOff x="4705350" y="642938"/>
            <a:chExt cx="7771832" cy="257175"/>
          </a:xfrm>
        </xdr:grpSpPr>
        <xdr:sp macro="" textlink="">
          <xdr:nvSpPr>
            <xdr:cNvPr id="15" name="Rectangle 14">
              <a:extLst>
                <a:ext uri="{FF2B5EF4-FFF2-40B4-BE49-F238E27FC236}">
                  <a16:creationId xmlns:a16="http://schemas.microsoft.com/office/drawing/2014/main" id="{98376410-3722-4F69-B60C-34DC08843C8E}"/>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16" name="Rectangle 15">
              <a:extLst>
                <a:ext uri="{FF2B5EF4-FFF2-40B4-BE49-F238E27FC236}">
                  <a16:creationId xmlns:a16="http://schemas.microsoft.com/office/drawing/2014/main" id="{60065F6D-689A-4D52-916B-75232A3FF93F}"/>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17" name="Rectangle 16">
              <a:extLst>
                <a:ext uri="{FF2B5EF4-FFF2-40B4-BE49-F238E27FC236}">
                  <a16:creationId xmlns:a16="http://schemas.microsoft.com/office/drawing/2014/main" id="{CC3FEDDE-683D-4586-9F92-F315BE6EF6B1}"/>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18" name="Rectangle 17">
              <a:extLst>
                <a:ext uri="{FF2B5EF4-FFF2-40B4-BE49-F238E27FC236}">
                  <a16:creationId xmlns:a16="http://schemas.microsoft.com/office/drawing/2014/main" id="{60E338B7-9933-4539-B70E-B391AF07F242}"/>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5EC3382F-E5D1-4A9E-8FAE-ECF174B18616}"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19" name="Rectangle 18">
              <a:extLst>
                <a:ext uri="{FF2B5EF4-FFF2-40B4-BE49-F238E27FC236}">
                  <a16:creationId xmlns:a16="http://schemas.microsoft.com/office/drawing/2014/main" id="{DB8B469D-6536-4D8E-8CAC-E1E3D05D4C36}"/>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09976595-EDCF-4DE7-9AF9-70899FB7BEBE}"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20" name="Rectangle 19">
              <a:extLst>
                <a:ext uri="{FF2B5EF4-FFF2-40B4-BE49-F238E27FC236}">
                  <a16:creationId xmlns:a16="http://schemas.microsoft.com/office/drawing/2014/main" id="{8C9D4C97-E0E6-48B1-94B7-91F43A16A47D}"/>
                </a:ext>
              </a:extLst>
            </xdr:cNvPr>
            <xdr:cNvSpPr/>
          </xdr:nvSpPr>
          <xdr:spPr>
            <a:xfrm>
              <a:off x="11277600" y="642938"/>
              <a:ext cx="11995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2D3AA434-AF0F-4867-9F13-71C475A3BC4A}"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8" name="Group 7">
            <a:extLst>
              <a:ext uri="{FF2B5EF4-FFF2-40B4-BE49-F238E27FC236}">
                <a16:creationId xmlns:a16="http://schemas.microsoft.com/office/drawing/2014/main" id="{34C32909-323F-46D7-8EFD-3D76B702E307}"/>
              </a:ext>
            </a:extLst>
          </xdr:cNvPr>
          <xdr:cNvGrpSpPr/>
        </xdr:nvGrpSpPr>
        <xdr:grpSpPr>
          <a:xfrm>
            <a:off x="4705350" y="975123"/>
            <a:ext cx="7771832" cy="257175"/>
            <a:chOff x="4705350" y="975123"/>
            <a:chExt cx="7771832" cy="257175"/>
          </a:xfrm>
        </xdr:grpSpPr>
        <xdr:sp macro="" textlink="">
          <xdr:nvSpPr>
            <xdr:cNvPr id="9" name="Rectangle 8">
              <a:extLst>
                <a:ext uri="{FF2B5EF4-FFF2-40B4-BE49-F238E27FC236}">
                  <a16:creationId xmlns:a16="http://schemas.microsoft.com/office/drawing/2014/main" id="{1D096242-1308-4026-8F37-0D8B1D40AC12}"/>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10" name="Rectangle 9">
              <a:extLst>
                <a:ext uri="{FF2B5EF4-FFF2-40B4-BE49-F238E27FC236}">
                  <a16:creationId xmlns:a16="http://schemas.microsoft.com/office/drawing/2014/main" id="{459A754A-B33A-4042-BD85-638A252D0836}"/>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11" name="Rectangle 10">
              <a:extLst>
                <a:ext uri="{FF2B5EF4-FFF2-40B4-BE49-F238E27FC236}">
                  <a16:creationId xmlns:a16="http://schemas.microsoft.com/office/drawing/2014/main" id="{43B07BDD-0D97-48AD-B3BA-500C83CFE78D}"/>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12" name="Rectangle 11">
              <a:extLst>
                <a:ext uri="{FF2B5EF4-FFF2-40B4-BE49-F238E27FC236}">
                  <a16:creationId xmlns:a16="http://schemas.microsoft.com/office/drawing/2014/main" id="{165C2732-717D-4961-9D97-D993285E257A}"/>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4F81CC35-1D89-4B60-8D84-7DDE04A0D1E0}"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13" name="Rectangle 12">
              <a:extLst>
                <a:ext uri="{FF2B5EF4-FFF2-40B4-BE49-F238E27FC236}">
                  <a16:creationId xmlns:a16="http://schemas.microsoft.com/office/drawing/2014/main" id="{F934D4B7-78F1-4146-BEF6-3613006139AA}"/>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D05BC50A-5360-4B25-8F6B-4965CAEFAFA1}"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14" name="Rectangle 13">
              <a:extLst>
                <a:ext uri="{FF2B5EF4-FFF2-40B4-BE49-F238E27FC236}">
                  <a16:creationId xmlns:a16="http://schemas.microsoft.com/office/drawing/2014/main" id="{E4C68B24-4159-4E0D-A852-87AA3CF20FB7}"/>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FA69A1D5-9C77-4973-B148-FA29D405590E}"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twoCellAnchor>
    <xdr:from>
      <xdr:col>6</xdr:col>
      <xdr:colOff>352425</xdr:colOff>
      <xdr:row>22</xdr:row>
      <xdr:rowOff>342900</xdr:rowOff>
    </xdr:from>
    <xdr:to>
      <xdr:col>9</xdr:col>
      <xdr:colOff>495450</xdr:colOff>
      <xdr:row>23</xdr:row>
      <xdr:rowOff>57150</xdr:rowOff>
    </xdr:to>
    <xdr:sp macro="" textlink="">
      <xdr:nvSpPr>
        <xdr:cNvPr id="21" name="Arrow: Right 20">
          <a:hlinkClick xmlns:r="http://schemas.openxmlformats.org/officeDocument/2006/relationships" r:id="rId4"/>
          <a:extLst>
            <a:ext uri="{FF2B5EF4-FFF2-40B4-BE49-F238E27FC236}">
              <a16:creationId xmlns:a16="http://schemas.microsoft.com/office/drawing/2014/main" id="{1C6C142B-4805-46A9-BE3C-F03A8D1B7297}"/>
            </a:ext>
          </a:extLst>
        </xdr:cNvPr>
        <xdr:cNvSpPr/>
      </xdr:nvSpPr>
      <xdr:spPr>
        <a:xfrm flipH="1">
          <a:off x="4467225" y="6486525"/>
          <a:ext cx="169560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editAs="absolute">
    <xdr:from>
      <xdr:col>4</xdr:col>
      <xdr:colOff>85725</xdr:colOff>
      <xdr:row>0</xdr:row>
      <xdr:rowOff>133350</xdr:rowOff>
    </xdr:from>
    <xdr:to>
      <xdr:col>18</xdr:col>
      <xdr:colOff>76200</xdr:colOff>
      <xdr:row>2</xdr:row>
      <xdr:rowOff>29325</xdr:rowOff>
    </xdr:to>
    <xdr:grpSp>
      <xdr:nvGrpSpPr>
        <xdr:cNvPr id="22" name="Group 21">
          <a:extLst>
            <a:ext uri="{FF2B5EF4-FFF2-40B4-BE49-F238E27FC236}">
              <a16:creationId xmlns:a16="http://schemas.microsoft.com/office/drawing/2014/main" id="{D37C7818-C21E-4CA6-81F9-F8717F33B2A9}"/>
            </a:ext>
          </a:extLst>
        </xdr:cNvPr>
        <xdr:cNvGrpSpPr/>
      </xdr:nvGrpSpPr>
      <xdr:grpSpPr>
        <a:xfrm>
          <a:off x="3375025" y="133350"/>
          <a:ext cx="10963275" cy="238875"/>
          <a:chOff x="2952750" y="137737"/>
          <a:chExt cx="9563100" cy="248400"/>
        </a:xfrm>
      </xdr:grpSpPr>
      <xdr:sp macro="" textlink="">
        <xdr:nvSpPr>
          <xdr:cNvPr id="23" name="Rectangle 22">
            <a:hlinkClick xmlns:r="http://schemas.openxmlformats.org/officeDocument/2006/relationships" r:id="rId5"/>
            <a:extLst>
              <a:ext uri="{FF2B5EF4-FFF2-40B4-BE49-F238E27FC236}">
                <a16:creationId xmlns:a16="http://schemas.microsoft.com/office/drawing/2014/main" id="{3F98F712-9530-40B3-9233-BAADFEB3F06B}"/>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24" name="Rectangle 23">
            <a:hlinkClick xmlns:r="http://schemas.openxmlformats.org/officeDocument/2006/relationships" r:id="rId6"/>
            <a:extLst>
              <a:ext uri="{FF2B5EF4-FFF2-40B4-BE49-F238E27FC236}">
                <a16:creationId xmlns:a16="http://schemas.microsoft.com/office/drawing/2014/main" id="{2C4B8AAA-0481-4152-A0CA-B117E2F29E57}"/>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25" name="Rectangle 24">
            <a:hlinkClick xmlns:r="http://schemas.openxmlformats.org/officeDocument/2006/relationships" r:id="rId7"/>
            <a:extLst>
              <a:ext uri="{FF2B5EF4-FFF2-40B4-BE49-F238E27FC236}">
                <a16:creationId xmlns:a16="http://schemas.microsoft.com/office/drawing/2014/main" id="{53CFFCFA-12F4-4E50-9206-91BE97ADB675}"/>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Finanzierung</a:t>
            </a:r>
          </a:p>
        </xdr:txBody>
      </xdr:sp>
      <xdr:sp macro="" textlink="">
        <xdr:nvSpPr>
          <xdr:cNvPr id="26" name="Rectangle 25">
            <a:hlinkClick xmlns:r="http://schemas.openxmlformats.org/officeDocument/2006/relationships" r:id="rId8"/>
            <a:extLst>
              <a:ext uri="{FF2B5EF4-FFF2-40B4-BE49-F238E27FC236}">
                <a16:creationId xmlns:a16="http://schemas.microsoft.com/office/drawing/2014/main" id="{7E3B22B2-6118-4FCA-8721-2F0994EE7C74}"/>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Hausgeld &amp;</a:t>
            </a:r>
            <a:r>
              <a:rPr lang="de-DE" sz="1050" u="none" baseline="0">
                <a:solidFill>
                  <a:schemeClr val="bg1"/>
                </a:solidFill>
                <a:latin typeface="+mn-lt"/>
              </a:rPr>
              <a:t> Rücklagen</a:t>
            </a:r>
            <a:endParaRPr lang="de-DE" sz="1050" u="none">
              <a:solidFill>
                <a:schemeClr val="bg1"/>
              </a:solidFill>
              <a:latin typeface="+mn-lt"/>
            </a:endParaRPr>
          </a:p>
        </xdr:txBody>
      </xdr:sp>
      <xdr:sp macro="" textlink="">
        <xdr:nvSpPr>
          <xdr:cNvPr id="27" name="Rectangle 26">
            <a:hlinkClick xmlns:r="http://schemas.openxmlformats.org/officeDocument/2006/relationships" r:id="rId9"/>
            <a:extLst>
              <a:ext uri="{FF2B5EF4-FFF2-40B4-BE49-F238E27FC236}">
                <a16:creationId xmlns:a16="http://schemas.microsoft.com/office/drawing/2014/main" id="{8C213045-B32D-4E1D-B653-CA96A8FCFFE3}"/>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Zinsrisiko</a:t>
            </a:r>
          </a:p>
        </xdr:txBody>
      </xdr:sp>
      <xdr:sp macro="" textlink="">
        <xdr:nvSpPr>
          <xdr:cNvPr id="28" name="Rectangle 27">
            <a:hlinkClick xmlns:r="http://schemas.openxmlformats.org/officeDocument/2006/relationships" r:id="rId10"/>
            <a:extLst>
              <a:ext uri="{FF2B5EF4-FFF2-40B4-BE49-F238E27FC236}">
                <a16:creationId xmlns:a16="http://schemas.microsoft.com/office/drawing/2014/main" id="{296046C3-9A91-430F-89FA-91CBA96AA7ED}"/>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cs typeface="Calibri" panose="020F0502020204030204" pitchFamily="34" charset="0"/>
              </a:rPr>
              <a:t> </a:t>
            </a:r>
            <a:r>
              <a:rPr lang="de-DE" sz="1050" u="none">
                <a:solidFill>
                  <a:schemeClr val="bg1"/>
                </a:solidFill>
                <a:latin typeface="+mn-lt"/>
              </a:rPr>
              <a:t>Steuern</a:t>
            </a:r>
          </a:p>
        </xdr:txBody>
      </xdr:sp>
      <xdr:sp macro="" textlink="">
        <xdr:nvSpPr>
          <xdr:cNvPr id="29" name="Rectangle 28">
            <a:hlinkClick xmlns:r="http://schemas.openxmlformats.org/officeDocument/2006/relationships" r:id="rId4"/>
            <a:extLst>
              <a:ext uri="{FF2B5EF4-FFF2-40B4-BE49-F238E27FC236}">
                <a16:creationId xmlns:a16="http://schemas.microsoft.com/office/drawing/2014/main" id="{94322459-B7B6-4B3A-A6C8-5A7002ABC3E0}"/>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u="sng">
                <a:solidFill>
                  <a:schemeClr val="bg1"/>
                </a:solidFill>
                <a:latin typeface="+mn-lt"/>
              </a:rPr>
              <a:t>Ergebnis</a:t>
            </a:r>
          </a:p>
        </xdr:txBody>
      </xdr:sp>
      <xdr:sp macro="" textlink="">
        <xdr:nvSpPr>
          <xdr:cNvPr id="30" name="Rectangle 29">
            <a:extLst>
              <a:ext uri="{FF2B5EF4-FFF2-40B4-BE49-F238E27FC236}">
                <a16:creationId xmlns:a16="http://schemas.microsoft.com/office/drawing/2014/main" id="{595849AD-E48D-493D-9E93-937D1CF72E67}"/>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1" name="Rectangle 30">
            <a:extLst>
              <a:ext uri="{FF2B5EF4-FFF2-40B4-BE49-F238E27FC236}">
                <a16:creationId xmlns:a16="http://schemas.microsoft.com/office/drawing/2014/main" id="{489F2DD2-95A8-49A6-BDEA-41377D8BD6B4}"/>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2" name="Rectangle 31">
            <a:extLst>
              <a:ext uri="{FF2B5EF4-FFF2-40B4-BE49-F238E27FC236}">
                <a16:creationId xmlns:a16="http://schemas.microsoft.com/office/drawing/2014/main" id="{ECB8DF80-48AF-4D26-B4EC-6540B279B9F3}"/>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3" name="Rectangle 32">
            <a:extLst>
              <a:ext uri="{FF2B5EF4-FFF2-40B4-BE49-F238E27FC236}">
                <a16:creationId xmlns:a16="http://schemas.microsoft.com/office/drawing/2014/main" id="{3A5B73A6-B76C-4C0D-A62D-9BC6D0F51615}"/>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4" name="Rectangle 33">
            <a:extLst>
              <a:ext uri="{FF2B5EF4-FFF2-40B4-BE49-F238E27FC236}">
                <a16:creationId xmlns:a16="http://schemas.microsoft.com/office/drawing/2014/main" id="{DEEF3542-8B3D-4F59-BA5C-944E5205213C}"/>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5" name="Rectangle 34">
            <a:extLst>
              <a:ext uri="{FF2B5EF4-FFF2-40B4-BE49-F238E27FC236}">
                <a16:creationId xmlns:a16="http://schemas.microsoft.com/office/drawing/2014/main" id="{2B589D33-3368-45B0-9D06-FEAEE53DC8A7}"/>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6" name="Rectangle 35">
            <a:extLst>
              <a:ext uri="{FF2B5EF4-FFF2-40B4-BE49-F238E27FC236}">
                <a16:creationId xmlns:a16="http://schemas.microsoft.com/office/drawing/2014/main" id="{C5C692CB-51D9-4C3B-A66C-49B0A213532F}"/>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7" name="Rectangle: Rounded Corners 36">
            <a:hlinkClick xmlns:r="http://schemas.openxmlformats.org/officeDocument/2006/relationships" r:id="rId11"/>
            <a:extLst>
              <a:ext uri="{FF2B5EF4-FFF2-40B4-BE49-F238E27FC236}">
                <a16:creationId xmlns:a16="http://schemas.microsoft.com/office/drawing/2014/main" id="{575078F0-B142-485C-BF18-BCA61D03EBE8}"/>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38" name="Rectangle 37">
            <a:extLst>
              <a:ext uri="{FF2B5EF4-FFF2-40B4-BE49-F238E27FC236}">
                <a16:creationId xmlns:a16="http://schemas.microsoft.com/office/drawing/2014/main" id="{39E0A883-D61E-4C45-B6D6-CAB2B4424E9E}"/>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9" name="Rectangle: Rounded Corners 38">
            <a:hlinkClick xmlns:r="http://schemas.openxmlformats.org/officeDocument/2006/relationships" r:id="rId12"/>
            <a:extLst>
              <a:ext uri="{FF2B5EF4-FFF2-40B4-BE49-F238E27FC236}">
                <a16:creationId xmlns:a16="http://schemas.microsoft.com/office/drawing/2014/main" id="{007B23D1-FB0C-46FD-9206-37A95097226B}"/>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xdr:from>
      <xdr:col>1</xdr:col>
      <xdr:colOff>9525</xdr:colOff>
      <xdr:row>7</xdr:row>
      <xdr:rowOff>76200</xdr:rowOff>
    </xdr:from>
    <xdr:to>
      <xdr:col>18</xdr:col>
      <xdr:colOff>9525</xdr:colOff>
      <xdr:row>22</xdr:row>
      <xdr:rowOff>104775</xdr:rowOff>
    </xdr:to>
    <xdr:grpSp>
      <xdr:nvGrpSpPr>
        <xdr:cNvPr id="57" name="Group 56">
          <a:extLst>
            <a:ext uri="{FF2B5EF4-FFF2-40B4-BE49-F238E27FC236}">
              <a16:creationId xmlns:a16="http://schemas.microsoft.com/office/drawing/2014/main" id="{6CFAFB83-E186-4ACD-A867-B9A70BADC514}"/>
            </a:ext>
          </a:extLst>
        </xdr:cNvPr>
        <xdr:cNvGrpSpPr/>
      </xdr:nvGrpSpPr>
      <xdr:grpSpPr>
        <a:xfrm>
          <a:off x="263525" y="1676400"/>
          <a:ext cx="14008100" cy="4397375"/>
          <a:chOff x="228600" y="7400925"/>
          <a:chExt cx="12220575" cy="4524375"/>
        </a:xfrm>
      </xdr:grpSpPr>
      <xdr:sp macro="" textlink="">
        <xdr:nvSpPr>
          <xdr:cNvPr id="58" name="Rectangle: Rounded Corners 57">
            <a:extLst>
              <a:ext uri="{FF2B5EF4-FFF2-40B4-BE49-F238E27FC236}">
                <a16:creationId xmlns:a16="http://schemas.microsoft.com/office/drawing/2014/main" id="{9B6E97DE-D1A1-48B6-AB16-10504906C190}"/>
              </a:ext>
            </a:extLst>
          </xdr:cNvPr>
          <xdr:cNvSpPr/>
        </xdr:nvSpPr>
        <xdr:spPr>
          <a:xfrm>
            <a:off x="228600" y="7400925"/>
            <a:ext cx="12220575" cy="4524375"/>
          </a:xfrm>
          <a:prstGeom prst="roundRect">
            <a:avLst>
              <a:gd name="adj" fmla="val 1654"/>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tlCol="0" anchor="t"/>
          <a:lstStyle/>
          <a:p>
            <a:pPr algn="l">
              <a:lnSpc>
                <a:spcPct val="130000"/>
              </a:lnSpc>
              <a:spcAft>
                <a:spcPts val="1200"/>
              </a:spcAft>
            </a:pPr>
            <a:r>
              <a:rPr lang="de-DE" sz="1200" b="1">
                <a:solidFill>
                  <a:schemeClr val="tx2"/>
                </a:solidFill>
                <a:latin typeface="Century Gothic" panose="020B0502020202020204" pitchFamily="34" charset="0"/>
              </a:rPr>
              <a:t>Interpretationshilfe</a:t>
            </a:r>
          </a:p>
          <a:p>
            <a:pPr algn="l">
              <a:lnSpc>
                <a:spcPct val="130000"/>
              </a:lnSpc>
              <a:spcAft>
                <a:spcPts val="1200"/>
              </a:spcAft>
            </a:pPr>
            <a:r>
              <a:rPr lang="de-DE" sz="1200">
                <a:solidFill>
                  <a:schemeClr val="tx2"/>
                </a:solidFill>
                <a:latin typeface="Century Gothic" panose="020B0502020202020204" pitchFamily="34" charset="0"/>
              </a:rPr>
              <a:t>Neben dem monatlichen Cashflow (Überschuss) nach Steuern, hast du mittlerweile auch weitere Kennzahlen berechnet. Du findest diese am oberen Bildschirmrand.</a:t>
            </a:r>
          </a:p>
          <a:p>
            <a:pPr algn="l">
              <a:lnSpc>
                <a:spcPct val="130000"/>
              </a:lnSpc>
              <a:spcAft>
                <a:spcPts val="1200"/>
              </a:spcAft>
            </a:pPr>
            <a:r>
              <a:rPr lang="de-DE" sz="1200" u="sng" baseline="0">
                <a:solidFill>
                  <a:schemeClr val="tx2"/>
                </a:solidFill>
                <a:latin typeface="Century Gothic" panose="020B0502020202020204" pitchFamily="34" charset="0"/>
              </a:rPr>
              <a:t>Eigenkapitelbedarf:</a:t>
            </a:r>
            <a:r>
              <a:rPr lang="de-DE" sz="1200" u="none" baseline="0">
                <a:solidFill>
                  <a:schemeClr val="tx2"/>
                </a:solidFill>
                <a:latin typeface="Century Gothic" panose="020B0502020202020204" pitchFamily="34" charset="0"/>
              </a:rPr>
              <a:t> Um alle geplanten Kosten zu decken, ergibt sich nach Abzug deiner Darlehenssumme dieser Eigenkapitalbedarf. Du solltest danach noch einen ausreichenden Puffer auf deinem Konto übrig behalten, um unvohergesehene Kosten tragen zu können.</a:t>
            </a:r>
          </a:p>
          <a:p>
            <a:pPr algn="l">
              <a:lnSpc>
                <a:spcPct val="130000"/>
              </a:lnSpc>
              <a:spcAft>
                <a:spcPts val="1200"/>
              </a:spcAft>
            </a:pPr>
            <a:endParaRPr lang="de-DE" sz="1200" u="none" baseline="0">
              <a:solidFill>
                <a:schemeClr val="tx2"/>
              </a:solidFill>
              <a:latin typeface="Century Gothic" panose="020B0502020202020204" pitchFamily="34" charset="0"/>
            </a:endParaRPr>
          </a:p>
          <a:p>
            <a:pPr algn="l">
              <a:lnSpc>
                <a:spcPct val="130000"/>
              </a:lnSpc>
              <a:spcAft>
                <a:spcPts val="1200"/>
              </a:spcAft>
            </a:pPr>
            <a:r>
              <a:rPr lang="de-DE" sz="1200" u="sng" baseline="0">
                <a:solidFill>
                  <a:schemeClr val="tx2"/>
                </a:solidFill>
                <a:latin typeface="Century Gothic" panose="020B0502020202020204" pitchFamily="34" charset="0"/>
              </a:rPr>
              <a:t>Gleiche Rate in x Jahren:</a:t>
            </a:r>
            <a:r>
              <a:rPr lang="de-DE" sz="1200" u="none" baseline="0">
                <a:solidFill>
                  <a:schemeClr val="tx2"/>
                </a:solidFill>
                <a:latin typeface="Century Gothic" panose="020B0502020202020204" pitchFamily="34" charset="0"/>
              </a:rPr>
              <a:t> Bei diesem Zinssatz bleibt deine Rate bei einer Anschlussfinanzierung in x Jahren genau so hoch, wie jetzt am Anfang. Darüber steigt sie an und du musst möglicherweise monatlich (mehr) zuzahlen. Um dir bei der Anschlussfinanzierung höhere Zinsen leisten zu können, kannst du bspw. eine längere Laufzeit vereinbaren oder von Beginn an mehr tilgen.</a:t>
            </a:r>
          </a:p>
          <a:p>
            <a:pPr algn="l">
              <a:lnSpc>
                <a:spcPct val="130000"/>
              </a:lnSpc>
              <a:spcAft>
                <a:spcPts val="1200"/>
              </a:spcAft>
            </a:pPr>
            <a:r>
              <a:rPr lang="de-DE" sz="1200" u="sng" baseline="0">
                <a:solidFill>
                  <a:schemeClr val="tx2"/>
                </a:solidFill>
                <a:latin typeface="Century Gothic" panose="020B0502020202020204" pitchFamily="34" charset="0"/>
              </a:rPr>
              <a:t>Schuldenfrei:</a:t>
            </a:r>
            <a:r>
              <a:rPr lang="de-DE" sz="1200" u="none" baseline="0">
                <a:solidFill>
                  <a:schemeClr val="tx2"/>
                </a:solidFill>
                <a:latin typeface="Century Gothic" panose="020B0502020202020204" pitchFamily="34" charset="0"/>
              </a:rPr>
              <a:t> In so vielen Jahren zahlst du den letzten Euro deines Darlehens zurück. Die Wohnung gehört dann vollständig dir. Je mehr du von Beginn an tilgst, desto früher bist du schuldenfrei. </a:t>
            </a:r>
          </a:p>
          <a:p>
            <a:pPr algn="l">
              <a:lnSpc>
                <a:spcPct val="130000"/>
              </a:lnSpc>
              <a:spcAft>
                <a:spcPts val="1200"/>
              </a:spcAft>
            </a:pPr>
            <a:r>
              <a:rPr lang="de-DE" sz="1200" u="sng" baseline="0">
                <a:solidFill>
                  <a:schemeClr val="tx2"/>
                </a:solidFill>
                <a:latin typeface="Century Gothic" panose="020B0502020202020204" pitchFamily="34" charset="0"/>
              </a:rPr>
              <a:t>Zusätzliche Rente:</a:t>
            </a:r>
            <a:r>
              <a:rPr lang="de-DE" sz="1200" u="none" baseline="0">
                <a:solidFill>
                  <a:schemeClr val="tx2"/>
                </a:solidFill>
                <a:latin typeface="Century Gothic" panose="020B0502020202020204" pitchFamily="34" charset="0"/>
              </a:rPr>
              <a:t>  Sobald du die Wohnung vollständig abbezahlt hast (siehe "schuldenfrei"), entfällt deine monatliche Rate an die Bank. Von der Miete bleibt jetzt viel mehr übrig. Wir haben hier ausgerechnet, wie viel zusätzliche monatliche Rente die Wohnung bringt, sobald sie vollständig abbezahlt ist. Wir haben dabei bereits 25% Steuern berücksichtigt, was im Renten-Alter eine realistische Annahme ist.</a:t>
            </a:r>
          </a:p>
          <a:p>
            <a:pPr algn="l">
              <a:lnSpc>
                <a:spcPct val="130000"/>
              </a:lnSpc>
              <a:spcAft>
                <a:spcPts val="1200"/>
              </a:spcAft>
            </a:pPr>
            <a:endParaRPr lang="de-DE" sz="1200" u="none" baseline="0">
              <a:solidFill>
                <a:schemeClr val="tx2"/>
              </a:solidFill>
              <a:latin typeface="Century Gothic" panose="020B0502020202020204" pitchFamily="34" charset="0"/>
            </a:endParaRPr>
          </a:p>
          <a:p>
            <a:pPr algn="l">
              <a:lnSpc>
                <a:spcPct val="130000"/>
              </a:lnSpc>
              <a:spcAft>
                <a:spcPts val="1200"/>
              </a:spcAft>
            </a:pPr>
            <a:endParaRPr lang="de-DE" sz="1200" u="none" baseline="0">
              <a:solidFill>
                <a:schemeClr val="tx2"/>
              </a:solidFill>
              <a:latin typeface="Century Gothic" panose="020B0502020202020204" pitchFamily="34" charset="0"/>
            </a:endParaRPr>
          </a:p>
        </xdr:txBody>
      </xdr:sp>
      <xdr:pic>
        <xdr:nvPicPr>
          <xdr:cNvPr id="59" name="Picture 58" descr="http://de.seaicons.com/wp-content/uploads/2015/11/15-Light-Bulb-icon.png">
            <a:extLst>
              <a:ext uri="{FF2B5EF4-FFF2-40B4-BE49-F238E27FC236}">
                <a16:creationId xmlns:a16="http://schemas.microsoft.com/office/drawing/2014/main" id="{D9F89CE3-F48A-4E16-AB15-F721559B4C1F}"/>
              </a:ext>
            </a:extLst>
          </xdr:cNvPr>
          <xdr:cNvPicPr>
            <a:picLocks noChangeAspect="1" noChangeArrowheads="1"/>
          </xdr:cNvPicPr>
        </xdr:nvPicPr>
        <xdr:blipFill>
          <a:blip xmlns:r="http://schemas.openxmlformats.org/officeDocument/2006/relationships" r:embed="rId13" cstate="print">
            <a:duotone>
              <a:prstClr val="black"/>
              <a:schemeClr val="tx2">
                <a:tint val="45000"/>
                <a:satMod val="400000"/>
              </a:schemeClr>
            </a:duotone>
            <a:extLst>
              <a:ext uri="{28A0092B-C50C-407E-A947-70E740481C1C}">
                <a14:useLocalDpi xmlns:a14="http://schemas.microsoft.com/office/drawing/2010/main" val="0"/>
              </a:ext>
            </a:extLst>
          </a:blip>
          <a:srcRect/>
          <a:stretch>
            <a:fillRect/>
          </a:stretch>
        </xdr:blipFill>
        <xdr:spPr bwMode="auto">
          <a:xfrm>
            <a:off x="333375" y="7496175"/>
            <a:ext cx="342900" cy="342900"/>
          </a:xfrm>
          <a:prstGeom prst="rect">
            <a:avLst/>
          </a:prstGeom>
          <a:noFill/>
          <a:extLst>
            <a:ext uri="{909E8E84-426E-40DD-AFC4-6F175D3DCCD1}">
              <a14:hiddenFill xmlns:a14="http://schemas.microsoft.com/office/drawing/2010/main">
                <a:solidFill>
                  <a:srgbClr val="FFFFFF"/>
                </a:solidFill>
              </a14:hiddenFill>
            </a:ext>
          </a:extLst>
        </xdr:spPr>
      </xdr:pic>
      <xdr:sp macro="" textlink="txt_rf!E18">
        <xdr:nvSpPr>
          <xdr:cNvPr id="60" name="Rectangle 59">
            <a:extLst>
              <a:ext uri="{FF2B5EF4-FFF2-40B4-BE49-F238E27FC236}">
                <a16:creationId xmlns:a16="http://schemas.microsoft.com/office/drawing/2014/main" id="{9C65777A-C91B-434C-AB26-5DD819A26A77}"/>
              </a:ext>
            </a:extLst>
          </xdr:cNvPr>
          <xdr:cNvSpPr/>
        </xdr:nvSpPr>
        <xdr:spPr>
          <a:xfrm>
            <a:off x="695325" y="8982075"/>
            <a:ext cx="11591925"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8024295B-1388-4F96-AB88-2D22B5E8E4C3}" type="TxLink">
              <a:rPr lang="en-US" sz="1200" b="0" i="0" u="none" strike="noStrike">
                <a:solidFill>
                  <a:schemeClr val="tx2"/>
                </a:solidFill>
                <a:latin typeface="Century Gothic" panose="020B0502020202020204" pitchFamily="34" charset="0"/>
                <a:cs typeface="Calibri"/>
              </a:rPr>
              <a:pPr algn="l"/>
              <a:t> </a:t>
            </a:fld>
            <a:endParaRPr lang="de-DE" sz="1200">
              <a:solidFill>
                <a:schemeClr val="tx2"/>
              </a:solidFill>
              <a:latin typeface="Century Gothic" panose="020B0502020202020204" pitchFamily="34" charset="0"/>
            </a:endParaRPr>
          </a:p>
        </xdr:txBody>
      </xdr:sp>
    </xdr:grp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253468</xdr:colOff>
      <xdr:row>2</xdr:row>
      <xdr:rowOff>104776</xdr:rowOff>
    </xdr:to>
    <xdr:pic>
      <xdr:nvPicPr>
        <xdr:cNvPr id="2" name="Picture 1">
          <a:extLst>
            <a:ext uri="{FF2B5EF4-FFF2-40B4-BE49-F238E27FC236}">
              <a16:creationId xmlns:a16="http://schemas.microsoft.com/office/drawing/2014/main" id="{D3915869-F21A-4054-8204-1B714B613C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absolute">
    <xdr:from>
      <xdr:col>1</xdr:col>
      <xdr:colOff>323848</xdr:colOff>
      <xdr:row>3</xdr:row>
      <xdr:rowOff>1</xdr:rowOff>
    </xdr:from>
    <xdr:to>
      <xdr:col>6</xdr:col>
      <xdr:colOff>200025</xdr:colOff>
      <xdr:row>5</xdr:row>
      <xdr:rowOff>361951</xdr:rowOff>
    </xdr:to>
    <xdr:graphicFrame macro="">
      <xdr:nvGraphicFramePr>
        <xdr:cNvPr id="3" name="Diagramm 7">
          <a:extLst>
            <a:ext uri="{FF2B5EF4-FFF2-40B4-BE49-F238E27FC236}">
              <a16:creationId xmlns:a16="http://schemas.microsoft.com/office/drawing/2014/main" id="{1A149BED-8958-46C0-A635-FF96B36570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276225</xdr:colOff>
      <xdr:row>8</xdr:row>
      <xdr:rowOff>57148</xdr:rowOff>
    </xdr:from>
    <xdr:to>
      <xdr:col>18</xdr:col>
      <xdr:colOff>66675</xdr:colOff>
      <xdr:row>22</xdr:row>
      <xdr:rowOff>209550</xdr:rowOff>
    </xdr:to>
    <xdr:sp macro="" textlink="">
      <xdr:nvSpPr>
        <xdr:cNvPr id="4" name="Rectangle: Rounded Corners 3">
          <a:extLst>
            <a:ext uri="{FF2B5EF4-FFF2-40B4-BE49-F238E27FC236}">
              <a16:creationId xmlns:a16="http://schemas.microsoft.com/office/drawing/2014/main" id="{3E43CCD5-32CF-4F34-A483-2CE7B2037F9F}"/>
            </a:ext>
          </a:extLst>
        </xdr:cNvPr>
        <xdr:cNvSpPr/>
      </xdr:nvSpPr>
      <xdr:spPr>
        <a:xfrm>
          <a:off x="495300" y="1895473"/>
          <a:ext cx="12011025" cy="4229102"/>
        </a:xfrm>
        <a:prstGeom prst="roundRect">
          <a:avLst>
            <a:gd name="adj" fmla="val 2281"/>
          </a:avLst>
        </a:prstGeom>
        <a:solidFill>
          <a:srgbClr val="FBFFFD"/>
        </a:solidFill>
        <a:ln>
          <a:solidFill>
            <a:schemeClr val="tx2"/>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40000" rIns="180000" rtlCol="0" anchor="t"/>
        <a:lstStyle/>
        <a:p>
          <a:pPr algn="l">
            <a:lnSpc>
              <a:spcPct val="130000"/>
            </a:lnSpc>
            <a:spcAft>
              <a:spcPts val="1200"/>
            </a:spcAft>
          </a:pPr>
          <a:r>
            <a:rPr lang="de-DE" sz="1200" b="0" baseline="0">
              <a:solidFill>
                <a:schemeClr val="tx2"/>
              </a:solidFill>
              <a:latin typeface="Century Gothic" panose="020B0502020202020204" pitchFamily="34" charset="0"/>
            </a:rPr>
            <a:t>Mit der Berechnung des Cashflows nach Steuern hast du das </a:t>
          </a:r>
          <a:r>
            <a:rPr lang="de-DE" sz="1200" b="1" baseline="0">
              <a:solidFill>
                <a:schemeClr val="tx2"/>
              </a:solidFill>
              <a:latin typeface="Century Gothic" panose="020B0502020202020204" pitchFamily="34" charset="0"/>
            </a:rPr>
            <a:t>Ende des roten Fadens </a:t>
          </a:r>
          <a:r>
            <a:rPr lang="de-DE" sz="1200" b="0" baseline="0">
              <a:solidFill>
                <a:schemeClr val="tx2"/>
              </a:solidFill>
              <a:latin typeface="Century Gothic" panose="020B0502020202020204" pitchFamily="34" charset="0"/>
            </a:rPr>
            <a:t>erreicht.</a:t>
          </a:r>
        </a:p>
        <a:p>
          <a:pPr algn="l">
            <a:lnSpc>
              <a:spcPct val="130000"/>
            </a:lnSpc>
            <a:spcAft>
              <a:spcPts val="1200"/>
            </a:spcAft>
          </a:pPr>
          <a:r>
            <a:rPr lang="de-DE" sz="1200" b="0" baseline="0">
              <a:solidFill>
                <a:schemeClr val="tx2"/>
              </a:solidFill>
              <a:latin typeface="Century Gothic" panose="020B0502020202020204" pitchFamily="34" charset="0"/>
            </a:rPr>
            <a:t>Das Kalkulationstool hat allerdings noch viel mehr zu bieten. Nach einem Klick auf "zum Cockpit" befindest dich im immocation </a:t>
          </a:r>
          <a:r>
            <a:rPr lang="de-DE" sz="1200" b="1" baseline="0">
              <a:solidFill>
                <a:schemeClr val="tx2"/>
              </a:solidFill>
              <a:latin typeface="Century Gothic" panose="020B0502020202020204" pitchFamily="34" charset="0"/>
            </a:rPr>
            <a:t>Kalkulations-Cockpit</a:t>
          </a:r>
          <a:r>
            <a:rPr lang="de-DE" sz="1200" b="0" baseline="0">
              <a:solidFill>
                <a:schemeClr val="tx2"/>
              </a:solidFill>
              <a:latin typeface="Century Gothic" panose="020B0502020202020204" pitchFamily="34" charset="0"/>
            </a:rPr>
            <a:t>.</a:t>
          </a:r>
        </a:p>
        <a:p>
          <a:pPr algn="l">
            <a:lnSpc>
              <a:spcPct val="130000"/>
            </a:lnSpc>
            <a:spcAft>
              <a:spcPts val="1200"/>
            </a:spcAft>
          </a:pPr>
          <a:endParaRPr lang="de-DE" sz="1200" b="0" baseline="0">
            <a:solidFill>
              <a:schemeClr val="tx2"/>
            </a:solidFill>
            <a:latin typeface="Century Gothic" panose="020B0502020202020204" pitchFamily="34" charset="0"/>
          </a:endParaRPr>
        </a:p>
        <a:p>
          <a:pPr algn="l">
            <a:lnSpc>
              <a:spcPct val="130000"/>
            </a:lnSpc>
            <a:spcAft>
              <a:spcPts val="1200"/>
            </a:spcAft>
          </a:pPr>
          <a:endParaRPr lang="de-DE" sz="1200" b="0" baseline="0">
            <a:solidFill>
              <a:schemeClr val="tx2"/>
            </a:solidFill>
            <a:latin typeface="Century Gothic" panose="020B0502020202020204" pitchFamily="34" charset="0"/>
          </a:endParaRPr>
        </a:p>
        <a:p>
          <a:pPr algn="l">
            <a:lnSpc>
              <a:spcPct val="130000"/>
            </a:lnSpc>
            <a:spcAft>
              <a:spcPts val="1200"/>
            </a:spcAft>
          </a:pPr>
          <a:endParaRPr lang="de-DE" sz="1200" b="0" baseline="0">
            <a:solidFill>
              <a:schemeClr val="tx2"/>
            </a:solidFill>
            <a:latin typeface="Century Gothic" panose="020B0502020202020204" pitchFamily="34" charset="0"/>
          </a:endParaRPr>
        </a:p>
        <a:p>
          <a:pPr algn="l">
            <a:lnSpc>
              <a:spcPct val="130000"/>
            </a:lnSpc>
            <a:spcAft>
              <a:spcPts val="1200"/>
            </a:spcAft>
          </a:pPr>
          <a:endParaRPr lang="de-DE" sz="1200" b="0" baseline="0">
            <a:solidFill>
              <a:schemeClr val="tx2"/>
            </a:solidFill>
            <a:latin typeface="Century Gothic" panose="020B0502020202020204" pitchFamily="34" charset="0"/>
          </a:endParaRPr>
        </a:p>
        <a:p>
          <a:pPr algn="l">
            <a:lnSpc>
              <a:spcPct val="130000"/>
            </a:lnSpc>
            <a:spcAft>
              <a:spcPts val="1200"/>
            </a:spcAft>
          </a:pPr>
          <a:endParaRPr lang="de-DE" sz="1200" b="0" baseline="0">
            <a:solidFill>
              <a:schemeClr val="tx2"/>
            </a:solidFill>
            <a:latin typeface="Century Gothic" panose="020B0502020202020204" pitchFamily="34" charset="0"/>
          </a:endParaRPr>
        </a:p>
        <a:p>
          <a:pPr algn="l">
            <a:lnSpc>
              <a:spcPct val="130000"/>
            </a:lnSpc>
            <a:spcAft>
              <a:spcPts val="1200"/>
            </a:spcAft>
          </a:pPr>
          <a:r>
            <a:rPr lang="de-DE" sz="1200" b="0" baseline="0">
              <a:solidFill>
                <a:schemeClr val="tx2"/>
              </a:solidFill>
              <a:latin typeface="Century Gothic" panose="020B0502020202020204" pitchFamily="34" charset="0"/>
            </a:rPr>
            <a:t>Dort findest du </a:t>
          </a:r>
          <a:r>
            <a:rPr lang="de-DE" sz="1200" b="1" baseline="0">
              <a:solidFill>
                <a:schemeClr val="tx2"/>
              </a:solidFill>
              <a:latin typeface="Century Gothic" panose="020B0502020202020204" pitchFamily="34" charset="0"/>
            </a:rPr>
            <a:t>viele weitere Kennzahlen und Informationen </a:t>
          </a:r>
          <a:r>
            <a:rPr lang="de-DE" sz="1200" b="0" baseline="0">
              <a:solidFill>
                <a:schemeClr val="tx2"/>
              </a:solidFill>
              <a:latin typeface="Century Gothic" panose="020B0502020202020204" pitchFamily="34" charset="0"/>
            </a:rPr>
            <a:t>zu deiner Wohnung. Alle deine Eingaben aus dem roten Faden sind bereits vorausgefüllt. Alle hellblauen Zellen kannst du ändern. Jede Zahl ist mit einer Erkärung versehen. Diese erscheint, sobald du die entsprechende Zelle anklickst.</a:t>
          </a:r>
        </a:p>
        <a:p>
          <a:pPr algn="l">
            <a:lnSpc>
              <a:spcPct val="130000"/>
            </a:lnSpc>
            <a:spcAft>
              <a:spcPts val="1200"/>
            </a:spcAft>
          </a:pPr>
          <a:r>
            <a:rPr lang="de-DE" sz="1200" b="0" baseline="0">
              <a:solidFill>
                <a:schemeClr val="tx2"/>
              </a:solidFill>
              <a:latin typeface="Century Gothic" panose="020B0502020202020204" pitchFamily="34" charset="0"/>
            </a:rPr>
            <a:t>Über das Menü am oberen Bildschirmrand kannst du zu weiteren Bereichen des Tools navigieren. Am besten schaust du dich einfach einmal in Ruhe um.</a:t>
          </a:r>
        </a:p>
        <a:p>
          <a:pPr algn="l">
            <a:lnSpc>
              <a:spcPct val="130000"/>
            </a:lnSpc>
            <a:spcAft>
              <a:spcPts val="1200"/>
            </a:spcAft>
          </a:pPr>
          <a:r>
            <a:rPr lang="de-DE" sz="1200" b="0" baseline="0">
              <a:solidFill>
                <a:schemeClr val="tx2"/>
              </a:solidFill>
              <a:latin typeface="Century Gothic" panose="020B0502020202020204" pitchFamily="34" charset="0"/>
            </a:rPr>
            <a:t>Mit einem Klick auf "Roter Faden" gelangst du jederzeit wieder </a:t>
          </a:r>
          <a:r>
            <a:rPr lang="de-DE" sz="1200" b="1" baseline="0">
              <a:solidFill>
                <a:schemeClr val="tx2"/>
              </a:solidFill>
              <a:latin typeface="Century Gothic" panose="020B0502020202020204" pitchFamily="34" charset="0"/>
            </a:rPr>
            <a:t>zurück zum roten Faden</a:t>
          </a:r>
          <a:r>
            <a:rPr lang="de-DE" sz="1200" b="0" baseline="0">
              <a:solidFill>
                <a:schemeClr val="tx2"/>
              </a:solidFill>
              <a:latin typeface="Century Gothic" panose="020B0502020202020204" pitchFamily="34" charset="0"/>
            </a:rPr>
            <a:t>.</a:t>
          </a:r>
        </a:p>
      </xdr:txBody>
    </xdr:sp>
    <xdr:clientData/>
  </xdr:twoCellAnchor>
  <xdr:twoCellAnchor>
    <xdr:from>
      <xdr:col>10</xdr:col>
      <xdr:colOff>257175</xdr:colOff>
      <xdr:row>24</xdr:row>
      <xdr:rowOff>0</xdr:rowOff>
    </xdr:from>
    <xdr:to>
      <xdr:col>12</xdr:col>
      <xdr:colOff>447675</xdr:colOff>
      <xdr:row>25</xdr:row>
      <xdr:rowOff>161925</xdr:rowOff>
    </xdr:to>
    <xdr:sp macro="" textlink="">
      <xdr:nvSpPr>
        <xdr:cNvPr id="5" name="Arrow: Right 4">
          <a:hlinkClick xmlns:r="http://schemas.openxmlformats.org/officeDocument/2006/relationships" r:id="rId3"/>
          <a:extLst>
            <a:ext uri="{FF2B5EF4-FFF2-40B4-BE49-F238E27FC236}">
              <a16:creationId xmlns:a16="http://schemas.microsoft.com/office/drawing/2014/main" id="{2B6336BB-8457-4EBE-A3A3-CD294500383B}"/>
            </a:ext>
          </a:extLst>
        </xdr:cNvPr>
        <xdr:cNvSpPr/>
      </xdr:nvSpPr>
      <xdr:spPr>
        <a:xfrm>
          <a:off x="6677025" y="6353175"/>
          <a:ext cx="169545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zum Cockpit</a:t>
          </a:r>
        </a:p>
      </xdr:txBody>
    </xdr:sp>
    <xdr:clientData/>
  </xdr:twoCellAnchor>
  <xdr:twoCellAnchor editAs="absolute">
    <xdr:from>
      <xdr:col>6</xdr:col>
      <xdr:colOff>590550</xdr:colOff>
      <xdr:row>3</xdr:row>
      <xdr:rowOff>138113</xdr:rowOff>
    </xdr:from>
    <xdr:to>
      <xdr:col>18</xdr:col>
      <xdr:colOff>37532</xdr:colOff>
      <xdr:row>5</xdr:row>
      <xdr:rowOff>241698</xdr:rowOff>
    </xdr:to>
    <xdr:grpSp>
      <xdr:nvGrpSpPr>
        <xdr:cNvPr id="6" name="Group 5">
          <a:extLst>
            <a:ext uri="{FF2B5EF4-FFF2-40B4-BE49-F238E27FC236}">
              <a16:creationId xmlns:a16="http://schemas.microsoft.com/office/drawing/2014/main" id="{137711B7-2930-4956-B76E-7AB4EE172FBF}"/>
            </a:ext>
          </a:extLst>
        </xdr:cNvPr>
        <xdr:cNvGrpSpPr/>
      </xdr:nvGrpSpPr>
      <xdr:grpSpPr>
        <a:xfrm>
          <a:off x="5302250" y="633413"/>
          <a:ext cx="8997382" cy="560785"/>
          <a:chOff x="4705350" y="652463"/>
          <a:chExt cx="7771832" cy="579835"/>
        </a:xfrm>
      </xdr:grpSpPr>
      <xdr:grpSp>
        <xdr:nvGrpSpPr>
          <xdr:cNvPr id="7" name="Group 6">
            <a:extLst>
              <a:ext uri="{FF2B5EF4-FFF2-40B4-BE49-F238E27FC236}">
                <a16:creationId xmlns:a16="http://schemas.microsoft.com/office/drawing/2014/main" id="{3F499619-E7B6-4A0F-BCE4-3AF0D1B8F654}"/>
              </a:ext>
            </a:extLst>
          </xdr:cNvPr>
          <xdr:cNvGrpSpPr/>
        </xdr:nvGrpSpPr>
        <xdr:grpSpPr>
          <a:xfrm>
            <a:off x="4705350" y="652463"/>
            <a:ext cx="7771832" cy="257175"/>
            <a:chOff x="4705350" y="642938"/>
            <a:chExt cx="7771832" cy="257175"/>
          </a:xfrm>
        </xdr:grpSpPr>
        <xdr:sp macro="" textlink="">
          <xdr:nvSpPr>
            <xdr:cNvPr id="15" name="Rectangle 14">
              <a:extLst>
                <a:ext uri="{FF2B5EF4-FFF2-40B4-BE49-F238E27FC236}">
                  <a16:creationId xmlns:a16="http://schemas.microsoft.com/office/drawing/2014/main" id="{23F788E4-52D0-4B88-AC68-C73260CE314B}"/>
                </a:ext>
              </a:extLst>
            </xdr:cNvPr>
            <xdr:cNvSpPr/>
          </xdr:nvSpPr>
          <xdr:spPr>
            <a:xfrm>
              <a:off x="4705350" y="642938"/>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Eigenkapitalbedarf:</a:t>
              </a:r>
            </a:p>
          </xdr:txBody>
        </xdr:sp>
        <xdr:sp macro="" textlink="">
          <xdr:nvSpPr>
            <xdr:cNvPr id="16" name="Rectangle 15">
              <a:extLst>
                <a:ext uri="{FF2B5EF4-FFF2-40B4-BE49-F238E27FC236}">
                  <a16:creationId xmlns:a16="http://schemas.microsoft.com/office/drawing/2014/main" id="{BB9B2DD6-A2A0-4C5C-A58C-975DD108CDAC}"/>
                </a:ext>
              </a:extLst>
            </xdr:cNvPr>
            <xdr:cNvSpPr/>
          </xdr:nvSpPr>
          <xdr:spPr>
            <a:xfrm>
              <a:off x="7434919" y="642938"/>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nach Steuern:</a:t>
              </a:r>
            </a:p>
          </xdr:txBody>
        </xdr:sp>
        <xdr:sp macro="" textlink="">
          <xdr:nvSpPr>
            <xdr:cNvPr id="17" name="Rectangle 16">
              <a:extLst>
                <a:ext uri="{FF2B5EF4-FFF2-40B4-BE49-F238E27FC236}">
                  <a16:creationId xmlns:a16="http://schemas.microsoft.com/office/drawing/2014/main" id="{03315425-B8FE-4D9E-85B2-E778B2EB7D05}"/>
                </a:ext>
              </a:extLst>
            </xdr:cNvPr>
            <xdr:cNvSpPr/>
          </xdr:nvSpPr>
          <xdr:spPr>
            <a:xfrm>
              <a:off x="10359441" y="642938"/>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Schuldenfrei:</a:t>
              </a:r>
            </a:p>
          </xdr:txBody>
        </xdr:sp>
        <xdr:sp macro="" textlink="cnfg_rf!$G$7">
          <xdr:nvSpPr>
            <xdr:cNvPr id="18" name="Rectangle 17">
              <a:extLst>
                <a:ext uri="{FF2B5EF4-FFF2-40B4-BE49-F238E27FC236}">
                  <a16:creationId xmlns:a16="http://schemas.microsoft.com/office/drawing/2014/main" id="{D461F59F-1085-4E1A-A6D0-F85FA63D9E0D}"/>
                </a:ext>
              </a:extLst>
            </xdr:cNvPr>
            <xdr:cNvSpPr/>
          </xdr:nvSpPr>
          <xdr:spPr>
            <a:xfrm>
              <a:off x="6276975" y="642938"/>
              <a:ext cx="858860"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5EC3382F-E5D1-4A9E-8FAE-ECF174B18616}" type="TxLink">
                <a:rPr lang="en-US" sz="1200" b="0" i="0" u="none" strike="noStrike">
                  <a:solidFill>
                    <a:schemeClr val="tx2"/>
                  </a:solidFill>
                  <a:latin typeface="Century Gothic" panose="020B0502020202020204" pitchFamily="34" charset="0"/>
                  <a:cs typeface="Calibri"/>
                </a:rPr>
                <a:pPr algn="r"/>
                <a:t>-</a:t>
              </a:fld>
              <a:endParaRPr lang="en-US" sz="1200">
                <a:solidFill>
                  <a:schemeClr val="tx2"/>
                </a:solidFill>
                <a:latin typeface="Century Gothic" panose="020B0502020202020204" pitchFamily="34" charset="0"/>
              </a:endParaRPr>
            </a:p>
          </xdr:txBody>
        </xdr:sp>
        <xdr:sp macro="" textlink="cnfg_rf!$G$10">
          <xdr:nvSpPr>
            <xdr:cNvPr id="19" name="Rectangle 18">
              <a:extLst>
                <a:ext uri="{FF2B5EF4-FFF2-40B4-BE49-F238E27FC236}">
                  <a16:creationId xmlns:a16="http://schemas.microsoft.com/office/drawing/2014/main" id="{18226179-FA36-4128-BB47-D41479E26E25}"/>
                </a:ext>
              </a:extLst>
            </xdr:cNvPr>
            <xdr:cNvSpPr/>
          </xdr:nvSpPr>
          <xdr:spPr>
            <a:xfrm>
              <a:off x="9239250" y="642938"/>
              <a:ext cx="82370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09976595-EDCF-4DE7-9AF9-70899FB7BEBE}"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8">
          <xdr:nvSpPr>
            <xdr:cNvPr id="20" name="Rectangle 19">
              <a:extLst>
                <a:ext uri="{FF2B5EF4-FFF2-40B4-BE49-F238E27FC236}">
                  <a16:creationId xmlns:a16="http://schemas.microsoft.com/office/drawing/2014/main" id="{59525BCD-DF78-413D-A84D-D619DAF35384}"/>
                </a:ext>
              </a:extLst>
            </xdr:cNvPr>
            <xdr:cNvSpPr/>
          </xdr:nvSpPr>
          <xdr:spPr>
            <a:xfrm>
              <a:off x="11277600" y="642938"/>
              <a:ext cx="11995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2D3AA434-AF0F-4867-9F13-71C475A3BC4A}"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grpSp>
      <xdr:grpSp>
        <xdr:nvGrpSpPr>
          <xdr:cNvPr id="8" name="Group 7">
            <a:extLst>
              <a:ext uri="{FF2B5EF4-FFF2-40B4-BE49-F238E27FC236}">
                <a16:creationId xmlns:a16="http://schemas.microsoft.com/office/drawing/2014/main" id="{190AC0C8-D8E7-4BBF-9568-DCEF70D7D39E}"/>
              </a:ext>
            </a:extLst>
          </xdr:cNvPr>
          <xdr:cNvGrpSpPr/>
        </xdr:nvGrpSpPr>
        <xdr:grpSpPr>
          <a:xfrm>
            <a:off x="4705350" y="975123"/>
            <a:ext cx="7771832" cy="257175"/>
            <a:chOff x="4705350" y="975123"/>
            <a:chExt cx="7771832" cy="257175"/>
          </a:xfrm>
        </xdr:grpSpPr>
        <xdr:sp macro="" textlink="">
          <xdr:nvSpPr>
            <xdr:cNvPr id="9" name="Rectangle 8">
              <a:extLst>
                <a:ext uri="{FF2B5EF4-FFF2-40B4-BE49-F238E27FC236}">
                  <a16:creationId xmlns:a16="http://schemas.microsoft.com/office/drawing/2014/main" id="{9E768B9F-F87F-4E2C-921E-CC6B3D977912}"/>
                </a:ext>
              </a:extLst>
            </xdr:cNvPr>
            <xdr:cNvSpPr/>
          </xdr:nvSpPr>
          <xdr:spPr>
            <a:xfrm>
              <a:off x="4705350" y="975123"/>
              <a:ext cx="1800226"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Cashflow vor Steuern:</a:t>
              </a:r>
            </a:p>
          </xdr:txBody>
        </xdr:sp>
        <xdr:sp macro="" textlink="calc_rf!$B$9">
          <xdr:nvSpPr>
            <xdr:cNvPr id="10" name="Rectangle 9">
              <a:extLst>
                <a:ext uri="{FF2B5EF4-FFF2-40B4-BE49-F238E27FC236}">
                  <a16:creationId xmlns:a16="http://schemas.microsoft.com/office/drawing/2014/main" id="{7CE39894-0E95-4416-AB00-CF0B26D2464D}"/>
                </a:ext>
              </a:extLst>
            </xdr:cNvPr>
            <xdr:cNvSpPr/>
          </xdr:nvSpPr>
          <xdr:spPr>
            <a:xfrm>
              <a:off x="7434919" y="975123"/>
              <a:ext cx="212818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fld id="{5C64DFFA-D33A-402A-A0A0-50A628B83CE7}" type="TxLink">
                <a:rPr lang="en-US" sz="1200" b="0" i="0" u="none" strike="noStrike">
                  <a:solidFill>
                    <a:schemeClr val="tx2"/>
                  </a:solidFill>
                  <a:latin typeface="Century Gothic" panose="020B0502020202020204" pitchFamily="34" charset="0"/>
                  <a:cs typeface="Calibri"/>
                </a:rPr>
                <a:pPr algn="l"/>
                <a:t>Gleiche Rate in 1 Jahr:</a:t>
              </a:fld>
              <a:endParaRPr lang="de-DE" sz="1200">
                <a:solidFill>
                  <a:schemeClr val="tx2"/>
                </a:solidFill>
                <a:latin typeface="Century Gothic" panose="020B0502020202020204" pitchFamily="34" charset="0"/>
              </a:endParaRPr>
            </a:p>
          </xdr:txBody>
        </xdr:sp>
        <xdr:sp macro="" textlink="">
          <xdr:nvSpPr>
            <xdr:cNvPr id="11" name="Rectangle 10">
              <a:extLst>
                <a:ext uri="{FF2B5EF4-FFF2-40B4-BE49-F238E27FC236}">
                  <a16:creationId xmlns:a16="http://schemas.microsoft.com/office/drawing/2014/main" id="{A16AA0A4-B206-4370-A083-F19D8015B4CC}"/>
                </a:ext>
              </a:extLst>
            </xdr:cNvPr>
            <xdr:cNvSpPr/>
          </xdr:nvSpPr>
          <xdr:spPr>
            <a:xfrm>
              <a:off x="10359441" y="975123"/>
              <a:ext cx="1518234"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a:solidFill>
                    <a:schemeClr val="tx2"/>
                  </a:solidFill>
                  <a:latin typeface="Century Gothic" panose="020B0502020202020204" pitchFamily="34" charset="0"/>
                </a:rPr>
                <a:t>Zusätzliche Rente:</a:t>
              </a:r>
            </a:p>
          </xdr:txBody>
        </xdr:sp>
        <xdr:sp macro="" textlink="cnfg_rf!$G$9">
          <xdr:nvSpPr>
            <xdr:cNvPr id="12" name="Rectangle 11">
              <a:extLst>
                <a:ext uri="{FF2B5EF4-FFF2-40B4-BE49-F238E27FC236}">
                  <a16:creationId xmlns:a16="http://schemas.microsoft.com/office/drawing/2014/main" id="{446438A6-E7EF-43AA-95E8-31BA714248F8}"/>
                </a:ext>
              </a:extLst>
            </xdr:cNvPr>
            <xdr:cNvSpPr/>
          </xdr:nvSpPr>
          <xdr:spPr>
            <a:xfrm>
              <a:off x="6343650" y="975123"/>
              <a:ext cx="80118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4F81CC35-1D89-4B60-8D84-7DDE04A0D1E0}" type="TxLink">
                <a:rPr lang="en-US" sz="1200" b="0" i="0" u="none" strike="noStrike">
                  <a:solidFill>
                    <a:schemeClr val="tx2"/>
                  </a:solidFill>
                  <a:latin typeface="Century Gothic" panose="020B0502020202020204" pitchFamily="34" charset="0"/>
                  <a:cs typeface="Calibri"/>
                </a:rPr>
                <a:pPr algn="r"/>
                <a:t>-</a:t>
              </a:fld>
              <a:endParaRPr lang="de-DE" sz="1200">
                <a:solidFill>
                  <a:schemeClr val="tx2"/>
                </a:solidFill>
                <a:latin typeface="Century Gothic" panose="020B0502020202020204" pitchFamily="34" charset="0"/>
              </a:endParaRPr>
            </a:p>
          </xdr:txBody>
        </xdr:sp>
        <xdr:sp macro="" textlink="cnfg_rf!$G$11">
          <xdr:nvSpPr>
            <xdr:cNvPr id="13" name="Rectangle 12">
              <a:extLst>
                <a:ext uri="{FF2B5EF4-FFF2-40B4-BE49-F238E27FC236}">
                  <a16:creationId xmlns:a16="http://schemas.microsoft.com/office/drawing/2014/main" id="{0AB4B8D0-BAE8-44D0-88C0-5F130A5DC264}"/>
                </a:ext>
              </a:extLst>
            </xdr:cNvPr>
            <xdr:cNvSpPr/>
          </xdr:nvSpPr>
          <xdr:spPr>
            <a:xfrm>
              <a:off x="11715750" y="975123"/>
              <a:ext cx="761432"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D05BC50A-5360-4B25-8F6B-4965CAEFAFA1}"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endParaRPr>
            </a:p>
          </xdr:txBody>
        </xdr:sp>
        <xdr:sp macro="" textlink="cnfg_rf!$G$12">
          <xdr:nvSpPr>
            <xdr:cNvPr id="14" name="Rectangle 13">
              <a:extLst>
                <a:ext uri="{FF2B5EF4-FFF2-40B4-BE49-F238E27FC236}">
                  <a16:creationId xmlns:a16="http://schemas.microsoft.com/office/drawing/2014/main" id="{486F5FC7-F38A-4892-A0AB-0A9D32FBA77C}"/>
                </a:ext>
              </a:extLst>
            </xdr:cNvPr>
            <xdr:cNvSpPr/>
          </xdr:nvSpPr>
          <xdr:spPr>
            <a:xfrm>
              <a:off x="9296400" y="975123"/>
              <a:ext cx="766553" cy="2571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fld id="{FA69A1D5-9C77-4973-B148-FA29D405590E}" type="TxLink">
                <a:rPr lang="en-US" sz="1200" b="0" i="0" u="none" strike="noStrike">
                  <a:solidFill>
                    <a:schemeClr val="tx2"/>
                  </a:solidFill>
                  <a:latin typeface="Century Gothic" panose="020B0502020202020204" pitchFamily="34" charset="0"/>
                  <a:cs typeface="Calibri"/>
                </a:rPr>
                <a:pPr algn="r"/>
                <a:t>-</a:t>
              </a:fld>
              <a:endParaRPr lang="en-US" sz="1200" b="0" i="0" u="none" strike="noStrike">
                <a:solidFill>
                  <a:schemeClr val="tx2"/>
                </a:solidFill>
                <a:latin typeface="Century Gothic" panose="020B0502020202020204" pitchFamily="34" charset="0"/>
                <a:cs typeface="Calibri"/>
              </a:endParaRPr>
            </a:p>
          </xdr:txBody>
        </xdr:sp>
      </xdr:grpSp>
    </xdr:grpSp>
    <xdr:clientData/>
  </xdr:twoCellAnchor>
  <xdr:twoCellAnchor>
    <xdr:from>
      <xdr:col>6</xdr:col>
      <xdr:colOff>514350</xdr:colOff>
      <xdr:row>24</xdr:row>
      <xdr:rowOff>0</xdr:rowOff>
    </xdr:from>
    <xdr:to>
      <xdr:col>9</xdr:col>
      <xdr:colOff>657375</xdr:colOff>
      <xdr:row>25</xdr:row>
      <xdr:rowOff>161925</xdr:rowOff>
    </xdr:to>
    <xdr:sp macro="" textlink="">
      <xdr:nvSpPr>
        <xdr:cNvPr id="21" name="Arrow: Right 20">
          <a:hlinkClick xmlns:r="http://schemas.openxmlformats.org/officeDocument/2006/relationships" r:id="rId4"/>
          <a:extLst>
            <a:ext uri="{FF2B5EF4-FFF2-40B4-BE49-F238E27FC236}">
              <a16:creationId xmlns:a16="http://schemas.microsoft.com/office/drawing/2014/main" id="{4DD0130E-0038-4023-AA70-BCC63B7CECB7}"/>
            </a:ext>
          </a:extLst>
        </xdr:cNvPr>
        <xdr:cNvSpPr/>
      </xdr:nvSpPr>
      <xdr:spPr>
        <a:xfrm flipH="1">
          <a:off x="4629150" y="6353175"/>
          <a:ext cx="1695600" cy="381000"/>
        </a:xfrm>
        <a:prstGeom prst="rightArrow">
          <a:avLst>
            <a:gd name="adj1" fmla="val 54651"/>
            <a:gd name="adj2" fmla="val 50000"/>
          </a:avLst>
        </a:prstGeom>
        <a:solidFill>
          <a:schemeClr val="accent1"/>
        </a:solidFill>
        <a:ln>
          <a:solidFill>
            <a:schemeClr val="accent1">
              <a:lumMod val="50000"/>
            </a:schemeClr>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0" rIns="180000" rtlCol="0" anchor="ctr"/>
        <a:lstStyle/>
        <a:p>
          <a:pPr algn="ctr"/>
          <a:r>
            <a:rPr lang="de-DE" sz="1050">
              <a:latin typeface="Unit"/>
            </a:rPr>
            <a:t>zurück</a:t>
          </a:r>
        </a:p>
      </xdr:txBody>
    </xdr:sp>
    <xdr:clientData/>
  </xdr:twoCellAnchor>
  <xdr:twoCellAnchor editAs="oneCell">
    <xdr:from>
      <xdr:col>2</xdr:col>
      <xdr:colOff>28575</xdr:colOff>
      <xdr:row>8</xdr:row>
      <xdr:rowOff>161925</xdr:rowOff>
    </xdr:from>
    <xdr:to>
      <xdr:col>2</xdr:col>
      <xdr:colOff>371475</xdr:colOff>
      <xdr:row>9</xdr:row>
      <xdr:rowOff>180975</xdr:rowOff>
    </xdr:to>
    <xdr:pic>
      <xdr:nvPicPr>
        <xdr:cNvPr id="22" name="Picture 21" descr="http://de.seaicons.com/wp-content/uploads/2015/11/15-Light-Bulb-icon.png">
          <a:extLst>
            <a:ext uri="{FF2B5EF4-FFF2-40B4-BE49-F238E27FC236}">
              <a16:creationId xmlns:a16="http://schemas.microsoft.com/office/drawing/2014/main" id="{774763EB-A9C5-4104-873C-3C4DE2B0C7A9}"/>
            </a:ext>
          </a:extLst>
        </xdr:cNvPr>
        <xdr:cNvPicPr>
          <a:picLocks noChangeAspect="1" noChangeArrowheads="1"/>
        </xdr:cNvPicPr>
      </xdr:nvPicPr>
      <xdr:blipFill>
        <a:blip xmlns:r="http://schemas.openxmlformats.org/officeDocument/2006/relationships" r:embed="rId5" cstate="print">
          <a:duotone>
            <a:prstClr val="black"/>
            <a:schemeClr val="tx2">
              <a:tint val="45000"/>
              <a:satMod val="400000"/>
            </a:schemeClr>
          </a:duotone>
          <a:extLst>
            <a:ext uri="{28A0092B-C50C-407E-A947-70E740481C1C}">
              <a14:useLocalDpi xmlns:a14="http://schemas.microsoft.com/office/drawing/2010/main" val="0"/>
            </a:ext>
          </a:extLst>
        </a:blip>
        <a:srcRect/>
        <a:stretch>
          <a:fillRect/>
        </a:stretch>
      </xdr:blipFill>
      <xdr:spPr bwMode="auto">
        <a:xfrm>
          <a:off x="609600" y="2000250"/>
          <a:ext cx="34290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4</xdr:col>
      <xdr:colOff>85725</xdr:colOff>
      <xdr:row>0</xdr:row>
      <xdr:rowOff>133350</xdr:rowOff>
    </xdr:from>
    <xdr:to>
      <xdr:col>18</xdr:col>
      <xdr:colOff>76200</xdr:colOff>
      <xdr:row>2</xdr:row>
      <xdr:rowOff>29325</xdr:rowOff>
    </xdr:to>
    <xdr:grpSp>
      <xdr:nvGrpSpPr>
        <xdr:cNvPr id="24" name="Group 23">
          <a:extLst>
            <a:ext uri="{FF2B5EF4-FFF2-40B4-BE49-F238E27FC236}">
              <a16:creationId xmlns:a16="http://schemas.microsoft.com/office/drawing/2014/main" id="{DF27AD1D-8D2C-49A1-9283-6E09690A257D}"/>
            </a:ext>
          </a:extLst>
        </xdr:cNvPr>
        <xdr:cNvGrpSpPr/>
      </xdr:nvGrpSpPr>
      <xdr:grpSpPr>
        <a:xfrm>
          <a:off x="3375025" y="133350"/>
          <a:ext cx="10963275" cy="238875"/>
          <a:chOff x="2952750" y="137737"/>
          <a:chExt cx="9563100" cy="248400"/>
        </a:xfrm>
      </xdr:grpSpPr>
      <xdr:sp macro="" textlink="">
        <xdr:nvSpPr>
          <xdr:cNvPr id="25" name="Rectangle 24">
            <a:hlinkClick xmlns:r="http://schemas.openxmlformats.org/officeDocument/2006/relationships" r:id="rId6"/>
            <a:extLst>
              <a:ext uri="{FF2B5EF4-FFF2-40B4-BE49-F238E27FC236}">
                <a16:creationId xmlns:a16="http://schemas.microsoft.com/office/drawing/2014/main" id="{9B9B4389-6417-46EB-A58D-E2EE41B544F4}"/>
              </a:ext>
            </a:extLst>
          </xdr:cNvPr>
          <xdr:cNvSpPr/>
        </xdr:nvSpPr>
        <xdr:spPr>
          <a:xfrm>
            <a:off x="5092994" y="138112"/>
            <a:ext cx="117237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Kaufnebenkosten</a:t>
            </a:r>
          </a:p>
        </xdr:txBody>
      </xdr:sp>
      <xdr:sp macro="" textlink="">
        <xdr:nvSpPr>
          <xdr:cNvPr id="26" name="Rectangle 25">
            <a:hlinkClick xmlns:r="http://schemas.openxmlformats.org/officeDocument/2006/relationships" r:id="rId7"/>
            <a:extLst>
              <a:ext uri="{FF2B5EF4-FFF2-40B4-BE49-F238E27FC236}">
                <a16:creationId xmlns:a16="http://schemas.microsoft.com/office/drawing/2014/main" id="{91B676FD-FA7A-4E75-ABC3-5ACCFE301FC8}"/>
              </a:ext>
            </a:extLst>
          </xdr:cNvPr>
          <xdr:cNvSpPr/>
        </xdr:nvSpPr>
        <xdr:spPr>
          <a:xfrm>
            <a:off x="6433300" y="138112"/>
            <a:ext cx="879674"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Maßnahmen</a:t>
            </a:r>
          </a:p>
        </xdr:txBody>
      </xdr:sp>
      <xdr:sp macro="" textlink="">
        <xdr:nvSpPr>
          <xdr:cNvPr id="27" name="Rectangle 26">
            <a:hlinkClick xmlns:r="http://schemas.openxmlformats.org/officeDocument/2006/relationships" r:id="rId8"/>
            <a:extLst>
              <a:ext uri="{FF2B5EF4-FFF2-40B4-BE49-F238E27FC236}">
                <a16:creationId xmlns:a16="http://schemas.microsoft.com/office/drawing/2014/main" id="{909D11E5-A00F-4228-9D04-AC6640B5761E}"/>
              </a:ext>
            </a:extLst>
          </xdr:cNvPr>
          <xdr:cNvSpPr/>
        </xdr:nvSpPr>
        <xdr:spPr>
          <a:xfrm>
            <a:off x="7480909" y="138112"/>
            <a:ext cx="88464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Finanzierung</a:t>
            </a:r>
          </a:p>
        </xdr:txBody>
      </xdr:sp>
      <xdr:sp macro="" textlink="">
        <xdr:nvSpPr>
          <xdr:cNvPr id="28" name="Rectangle 27">
            <a:hlinkClick xmlns:r="http://schemas.openxmlformats.org/officeDocument/2006/relationships" r:id="rId9"/>
            <a:extLst>
              <a:ext uri="{FF2B5EF4-FFF2-40B4-BE49-F238E27FC236}">
                <a16:creationId xmlns:a16="http://schemas.microsoft.com/office/drawing/2014/main" id="{AE1120D4-42AF-4E20-ADDD-9E891446C54C}"/>
              </a:ext>
            </a:extLst>
          </xdr:cNvPr>
          <xdr:cNvSpPr/>
        </xdr:nvSpPr>
        <xdr:spPr>
          <a:xfrm>
            <a:off x="8533489" y="138112"/>
            <a:ext cx="139215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Hausgeld &amp;</a:t>
            </a:r>
            <a:r>
              <a:rPr lang="de-DE" sz="1050" u="none" baseline="0">
                <a:solidFill>
                  <a:schemeClr val="bg1"/>
                </a:solidFill>
                <a:latin typeface="+mn-lt"/>
              </a:rPr>
              <a:t> Rücklagen</a:t>
            </a:r>
            <a:endParaRPr lang="de-DE" sz="1050" u="none">
              <a:solidFill>
                <a:schemeClr val="bg1"/>
              </a:solidFill>
              <a:latin typeface="+mn-lt"/>
            </a:endParaRPr>
          </a:p>
        </xdr:txBody>
      </xdr:sp>
      <xdr:sp macro="" textlink="">
        <xdr:nvSpPr>
          <xdr:cNvPr id="29" name="Rectangle 28">
            <a:hlinkClick xmlns:r="http://schemas.openxmlformats.org/officeDocument/2006/relationships" r:id="rId10"/>
            <a:extLst>
              <a:ext uri="{FF2B5EF4-FFF2-40B4-BE49-F238E27FC236}">
                <a16:creationId xmlns:a16="http://schemas.microsoft.com/office/drawing/2014/main" id="{84552E50-078B-4D39-B1AB-46F72C300A08}"/>
              </a:ext>
            </a:extLst>
          </xdr:cNvPr>
          <xdr:cNvSpPr/>
        </xdr:nvSpPr>
        <xdr:spPr>
          <a:xfrm>
            <a:off x="10093583" y="138112"/>
            <a:ext cx="712807"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Zinsrisiko</a:t>
            </a:r>
          </a:p>
        </xdr:txBody>
      </xdr:sp>
      <xdr:sp macro="" textlink="">
        <xdr:nvSpPr>
          <xdr:cNvPr id="30" name="Rectangle 29">
            <a:hlinkClick xmlns:r="http://schemas.openxmlformats.org/officeDocument/2006/relationships" r:id="rId11"/>
            <a:extLst>
              <a:ext uri="{FF2B5EF4-FFF2-40B4-BE49-F238E27FC236}">
                <a16:creationId xmlns:a16="http://schemas.microsoft.com/office/drawing/2014/main" id="{56EEA479-859C-4E99-A81E-FC92718364EB}"/>
              </a:ext>
            </a:extLst>
          </xdr:cNvPr>
          <xdr:cNvSpPr/>
        </xdr:nvSpPr>
        <xdr:spPr>
          <a:xfrm>
            <a:off x="10974325" y="138112"/>
            <a:ext cx="659221"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cs typeface="Calibri" panose="020F0502020204030204" pitchFamily="34" charset="0"/>
              </a:rPr>
              <a:t> </a:t>
            </a:r>
            <a:r>
              <a:rPr lang="de-DE" sz="1050" u="none">
                <a:solidFill>
                  <a:schemeClr val="bg1"/>
                </a:solidFill>
                <a:latin typeface="+mn-lt"/>
              </a:rPr>
              <a:t>Steuern</a:t>
            </a:r>
          </a:p>
        </xdr:txBody>
      </xdr:sp>
      <xdr:sp macro="" textlink="">
        <xdr:nvSpPr>
          <xdr:cNvPr id="31" name="Rectangle 30">
            <a:hlinkClick xmlns:r="http://schemas.openxmlformats.org/officeDocument/2006/relationships" r:id="rId12"/>
            <a:extLst>
              <a:ext uri="{FF2B5EF4-FFF2-40B4-BE49-F238E27FC236}">
                <a16:creationId xmlns:a16="http://schemas.microsoft.com/office/drawing/2014/main" id="{5B4B358D-E533-4169-A054-FDC4DABE5CD9}"/>
              </a:ext>
            </a:extLst>
          </xdr:cNvPr>
          <xdr:cNvSpPr/>
        </xdr:nvSpPr>
        <xdr:spPr>
          <a:xfrm>
            <a:off x="11801475" y="138112"/>
            <a:ext cx="7143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 </a:t>
            </a:r>
            <a:r>
              <a:rPr lang="de-DE" sz="1050" u="sng">
                <a:solidFill>
                  <a:schemeClr val="bg1"/>
                </a:solidFill>
                <a:latin typeface="+mn-lt"/>
              </a:rPr>
              <a:t>Ergebnis</a:t>
            </a:r>
          </a:p>
        </xdr:txBody>
      </xdr:sp>
      <xdr:sp macro="" textlink="">
        <xdr:nvSpPr>
          <xdr:cNvPr id="32" name="Rectangle 31">
            <a:extLst>
              <a:ext uri="{FF2B5EF4-FFF2-40B4-BE49-F238E27FC236}">
                <a16:creationId xmlns:a16="http://schemas.microsoft.com/office/drawing/2014/main" id="{E27222A1-9C9B-4FB1-8ABB-00AF6B5DDAF5}"/>
              </a:ext>
            </a:extLst>
          </xdr:cNvPr>
          <xdr:cNvSpPr/>
        </xdr:nvSpPr>
        <xdr:spPr>
          <a:xfrm>
            <a:off x="4849912"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3" name="Rectangle 32">
            <a:extLst>
              <a:ext uri="{FF2B5EF4-FFF2-40B4-BE49-F238E27FC236}">
                <a16:creationId xmlns:a16="http://schemas.microsoft.com/office/drawing/2014/main" id="{0FA7A6D7-26DE-4A4C-8068-16C19F42AFC4}"/>
              </a:ext>
            </a:extLst>
          </xdr:cNvPr>
          <xdr:cNvSpPr/>
        </xdr:nvSpPr>
        <xdr:spPr>
          <a:xfrm>
            <a:off x="6190218"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4" name="Rectangle 33">
            <a:extLst>
              <a:ext uri="{FF2B5EF4-FFF2-40B4-BE49-F238E27FC236}">
                <a16:creationId xmlns:a16="http://schemas.microsoft.com/office/drawing/2014/main" id="{EE426294-9DE7-43F5-8AF8-EF19F1034057}"/>
              </a:ext>
            </a:extLst>
          </xdr:cNvPr>
          <xdr:cNvSpPr/>
        </xdr:nvSpPr>
        <xdr:spPr>
          <a:xfrm>
            <a:off x="723782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5" name="Rectangle 34">
            <a:extLst>
              <a:ext uri="{FF2B5EF4-FFF2-40B4-BE49-F238E27FC236}">
                <a16:creationId xmlns:a16="http://schemas.microsoft.com/office/drawing/2014/main" id="{74B7CDD2-CF46-4DC6-8413-EA23F668FBAC}"/>
              </a:ext>
            </a:extLst>
          </xdr:cNvPr>
          <xdr:cNvSpPr/>
        </xdr:nvSpPr>
        <xdr:spPr>
          <a:xfrm>
            <a:off x="8290407"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6" name="Rectangle 35">
            <a:extLst>
              <a:ext uri="{FF2B5EF4-FFF2-40B4-BE49-F238E27FC236}">
                <a16:creationId xmlns:a16="http://schemas.microsoft.com/office/drawing/2014/main" id="{F780AEC9-E863-4CBE-B7B2-D8DEC1CAE3A9}"/>
              </a:ext>
            </a:extLst>
          </xdr:cNvPr>
          <xdr:cNvSpPr/>
        </xdr:nvSpPr>
        <xdr:spPr>
          <a:xfrm>
            <a:off x="9850501"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7" name="Rectangle 36">
            <a:extLst>
              <a:ext uri="{FF2B5EF4-FFF2-40B4-BE49-F238E27FC236}">
                <a16:creationId xmlns:a16="http://schemas.microsoft.com/office/drawing/2014/main" id="{51DCCD4D-13F4-4A00-A45B-3D3DD33EC887}"/>
              </a:ext>
            </a:extLst>
          </xdr:cNvPr>
          <xdr:cNvSpPr/>
        </xdr:nvSpPr>
        <xdr:spPr>
          <a:xfrm>
            <a:off x="1073124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8" name="Rectangle 37">
            <a:extLst>
              <a:ext uri="{FF2B5EF4-FFF2-40B4-BE49-F238E27FC236}">
                <a16:creationId xmlns:a16="http://schemas.microsoft.com/office/drawing/2014/main" id="{C8117AFC-62E0-4EA6-B3C1-BD7296493B22}"/>
              </a:ext>
            </a:extLst>
          </xdr:cNvPr>
          <xdr:cNvSpPr/>
        </xdr:nvSpPr>
        <xdr:spPr>
          <a:xfrm>
            <a:off x="11558399"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39" name="Rectangle: Rounded Corners 38">
            <a:hlinkClick xmlns:r="http://schemas.openxmlformats.org/officeDocument/2006/relationships" r:id="rId13"/>
            <a:extLst>
              <a:ext uri="{FF2B5EF4-FFF2-40B4-BE49-F238E27FC236}">
                <a16:creationId xmlns:a16="http://schemas.microsoft.com/office/drawing/2014/main" id="{881B1B77-5ED6-4B2E-8B18-2E64506E5FA4}"/>
              </a:ext>
            </a:extLst>
          </xdr:cNvPr>
          <xdr:cNvSpPr/>
        </xdr:nvSpPr>
        <xdr:spPr>
          <a:xfrm>
            <a:off x="3615985" y="137737"/>
            <a:ext cx="1309074"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Kaufpreis und Miete</a:t>
            </a:r>
          </a:p>
        </xdr:txBody>
      </xdr:sp>
      <xdr:sp macro="" textlink="">
        <xdr:nvSpPr>
          <xdr:cNvPr id="40" name="Rectangle 39">
            <a:extLst>
              <a:ext uri="{FF2B5EF4-FFF2-40B4-BE49-F238E27FC236}">
                <a16:creationId xmlns:a16="http://schemas.microsoft.com/office/drawing/2014/main" id="{56853DA3-D378-4074-B71C-60D68A462CD5}"/>
              </a:ext>
            </a:extLst>
          </xdr:cNvPr>
          <xdr:cNvSpPr/>
        </xdr:nvSpPr>
        <xdr:spPr>
          <a:xfrm>
            <a:off x="3372903" y="138112"/>
            <a:ext cx="318229"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a:solidFill>
                  <a:schemeClr val="bg1"/>
                </a:solidFill>
                <a:latin typeface="+mn-lt"/>
                <a:cs typeface="Calibri" panose="020F0502020204030204" pitchFamily="34" charset="0"/>
              </a:rPr>
              <a:t>→</a:t>
            </a:r>
            <a:endParaRPr lang="de-DE" sz="1050">
              <a:solidFill>
                <a:schemeClr val="bg1"/>
              </a:solidFill>
              <a:latin typeface="+mn-lt"/>
            </a:endParaRPr>
          </a:p>
        </xdr:txBody>
      </xdr:sp>
      <xdr:sp macro="" textlink="">
        <xdr:nvSpPr>
          <xdr:cNvPr id="41" name="Rectangle: Rounded Corners 40">
            <a:hlinkClick xmlns:r="http://schemas.openxmlformats.org/officeDocument/2006/relationships" r:id="rId14"/>
            <a:extLst>
              <a:ext uri="{FF2B5EF4-FFF2-40B4-BE49-F238E27FC236}">
                <a16:creationId xmlns:a16="http://schemas.microsoft.com/office/drawing/2014/main" id="{47AB9E6C-ED07-48E3-8DEF-2E8A7B2B9281}"/>
              </a:ext>
            </a:extLst>
          </xdr:cNvPr>
          <xdr:cNvSpPr/>
        </xdr:nvSpPr>
        <xdr:spPr>
          <a:xfrm>
            <a:off x="2952750" y="137737"/>
            <a:ext cx="495300" cy="2484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050" u="none">
                <a:solidFill>
                  <a:schemeClr val="bg1"/>
                </a:solidFill>
                <a:latin typeface="+mn-lt"/>
              </a:rPr>
              <a:t>Start</a:t>
            </a:r>
          </a:p>
        </xdr:txBody>
      </xdr:sp>
    </xdr:grpSp>
    <xdr:clientData/>
  </xdr:twoCellAnchor>
  <xdr:twoCellAnchor editAs="oneCell">
    <xdr:from>
      <xdr:col>2</xdr:col>
      <xdr:colOff>466724</xdr:colOff>
      <xdr:row>10</xdr:row>
      <xdr:rowOff>91431</xdr:rowOff>
    </xdr:from>
    <xdr:to>
      <xdr:col>6</xdr:col>
      <xdr:colOff>128988</xdr:colOff>
      <xdr:row>15</xdr:row>
      <xdr:rowOff>15230</xdr:rowOff>
    </xdr:to>
    <xdr:pic>
      <xdr:nvPicPr>
        <xdr:cNvPr id="44" name="Picture 43">
          <a:extLst>
            <a:ext uri="{FF2B5EF4-FFF2-40B4-BE49-F238E27FC236}">
              <a16:creationId xmlns:a16="http://schemas.microsoft.com/office/drawing/2014/main" id="{84A76402-570C-465F-89AF-2098721196CF}"/>
            </a:ext>
          </a:extLst>
        </xdr:cNvPr>
        <xdr:cNvPicPr>
          <a:picLocks noChangeAspect="1"/>
        </xdr:cNvPicPr>
      </xdr:nvPicPr>
      <xdr:blipFill>
        <a:blip xmlns:r="http://schemas.openxmlformats.org/officeDocument/2006/relationships" r:embed="rId15"/>
        <a:stretch>
          <a:fillRect/>
        </a:stretch>
      </xdr:blipFill>
      <xdr:spPr>
        <a:xfrm>
          <a:off x="1047749" y="2920356"/>
          <a:ext cx="3196039" cy="1476374"/>
        </a:xfrm>
        <a:prstGeom prst="rect">
          <a:avLst/>
        </a:prstGeom>
      </xdr:spPr>
    </xdr:pic>
    <xdr:clientData/>
  </xdr:twoCellAnchor>
  <xdr:twoCellAnchor editAs="oneCell">
    <xdr:from>
      <xdr:col>7</xdr:col>
      <xdr:colOff>164507</xdr:colOff>
      <xdr:row>10</xdr:row>
      <xdr:rowOff>91431</xdr:rowOff>
    </xdr:from>
    <xdr:to>
      <xdr:col>12</xdr:col>
      <xdr:colOff>183557</xdr:colOff>
      <xdr:row>15</xdr:row>
      <xdr:rowOff>40807</xdr:rowOff>
    </xdr:to>
    <xdr:pic>
      <xdr:nvPicPr>
        <xdr:cNvPr id="45" name="Picture 44">
          <a:extLst>
            <a:ext uri="{FF2B5EF4-FFF2-40B4-BE49-F238E27FC236}">
              <a16:creationId xmlns:a16="http://schemas.microsoft.com/office/drawing/2014/main" id="{3FAE3C5A-7E0A-4D51-944D-286EC37F0253}"/>
            </a:ext>
          </a:extLst>
        </xdr:cNvPr>
        <xdr:cNvPicPr>
          <a:picLocks noChangeAspect="1"/>
        </xdr:cNvPicPr>
      </xdr:nvPicPr>
      <xdr:blipFill>
        <a:blip xmlns:r="http://schemas.openxmlformats.org/officeDocument/2006/relationships" r:embed="rId16"/>
        <a:stretch>
          <a:fillRect/>
        </a:stretch>
      </xdr:blipFill>
      <xdr:spPr>
        <a:xfrm>
          <a:off x="4888907" y="2920356"/>
          <a:ext cx="3219450" cy="1501951"/>
        </a:xfrm>
        <a:prstGeom prst="rect">
          <a:avLst/>
        </a:prstGeom>
      </xdr:spPr>
    </xdr:pic>
    <xdr:clientData/>
  </xdr:twoCellAnchor>
  <xdr:twoCellAnchor editAs="oneCell">
    <xdr:from>
      <xdr:col>13</xdr:col>
      <xdr:colOff>76201</xdr:colOff>
      <xdr:row>10</xdr:row>
      <xdr:rowOff>91431</xdr:rowOff>
    </xdr:from>
    <xdr:to>
      <xdr:col>17</xdr:col>
      <xdr:colOff>548341</xdr:colOff>
      <xdr:row>15</xdr:row>
      <xdr:rowOff>57150</xdr:rowOff>
    </xdr:to>
    <xdr:pic>
      <xdr:nvPicPr>
        <xdr:cNvPr id="46" name="Picture 45">
          <a:extLst>
            <a:ext uri="{FF2B5EF4-FFF2-40B4-BE49-F238E27FC236}">
              <a16:creationId xmlns:a16="http://schemas.microsoft.com/office/drawing/2014/main" id="{338616E2-D5BF-42EB-BAAE-1D974BB1C76B}"/>
            </a:ext>
          </a:extLst>
        </xdr:cNvPr>
        <xdr:cNvPicPr>
          <a:picLocks noChangeAspect="1"/>
        </xdr:cNvPicPr>
      </xdr:nvPicPr>
      <xdr:blipFill>
        <a:blip xmlns:r="http://schemas.openxmlformats.org/officeDocument/2006/relationships" r:embed="rId17"/>
        <a:stretch>
          <a:fillRect/>
        </a:stretch>
      </xdr:blipFill>
      <xdr:spPr>
        <a:xfrm>
          <a:off x="8753476" y="2920356"/>
          <a:ext cx="3482040" cy="151829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15</xdr:col>
      <xdr:colOff>361950</xdr:colOff>
      <xdr:row>0</xdr:row>
      <xdr:rowOff>85725</xdr:rowOff>
    </xdr:from>
    <xdr:to>
      <xdr:col>15</xdr:col>
      <xdr:colOff>695325</xdr:colOff>
      <xdr:row>2</xdr:row>
      <xdr:rowOff>95250</xdr:rowOff>
    </xdr:to>
    <xdr:sp macro="" textlink="">
      <xdr:nvSpPr>
        <xdr:cNvPr id="10" name="Oval 9">
          <a:hlinkClick xmlns:r="http://schemas.openxmlformats.org/officeDocument/2006/relationships" r:id="rId1"/>
          <a:extLst>
            <a:ext uri="{FF2B5EF4-FFF2-40B4-BE49-F238E27FC236}">
              <a16:creationId xmlns:a16="http://schemas.microsoft.com/office/drawing/2014/main" id="{7AF419CD-AFA7-4CC4-8FFB-ECF6D4795667}"/>
            </a:ext>
          </a:extLst>
        </xdr:cNvPr>
        <xdr:cNvSpPr/>
      </xdr:nvSpPr>
      <xdr:spPr>
        <a:xfrm>
          <a:off x="12411075" y="85725"/>
          <a:ext cx="333375" cy="361950"/>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lang="de-DE" sz="2800">
              <a:solidFill>
                <a:schemeClr val="bg1"/>
              </a:solidFill>
              <a:latin typeface="Caladea" panose="02040503050406030204" pitchFamily="18" charset="0"/>
            </a:rPr>
            <a:t>?</a:t>
          </a:r>
        </a:p>
      </xdr:txBody>
    </xdr:sp>
    <xdr:clientData/>
  </xdr:twoCellAnchor>
  <xdr:twoCellAnchor editAs="oneCell">
    <xdr:from>
      <xdr:col>0</xdr:col>
      <xdr:colOff>66676</xdr:colOff>
      <xdr:row>0</xdr:row>
      <xdr:rowOff>76201</xdr:rowOff>
    </xdr:from>
    <xdr:to>
      <xdr:col>1</xdr:col>
      <xdr:colOff>243943</xdr:colOff>
      <xdr:row>2</xdr:row>
      <xdr:rowOff>104776</xdr:rowOff>
    </xdr:to>
    <xdr:pic>
      <xdr:nvPicPr>
        <xdr:cNvPr id="3" name="Picture 2">
          <a:extLst>
            <a:ext uri="{FF2B5EF4-FFF2-40B4-BE49-F238E27FC236}">
              <a16:creationId xmlns:a16="http://schemas.microsoft.com/office/drawing/2014/main" id="{26531806-6F43-44C9-8204-593B8856AB4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editAs="oneCell">
    <xdr:from>
      <xdr:col>15</xdr:col>
      <xdr:colOff>85725</xdr:colOff>
      <xdr:row>0</xdr:row>
      <xdr:rowOff>152400</xdr:rowOff>
    </xdr:from>
    <xdr:to>
      <xdr:col>15</xdr:col>
      <xdr:colOff>323850</xdr:colOff>
      <xdr:row>2</xdr:row>
      <xdr:rowOff>38100</xdr:rowOff>
    </xdr:to>
    <xdr:pic>
      <xdr:nvPicPr>
        <xdr:cNvPr id="8" name="Picture 7">
          <a:hlinkClick xmlns:r="http://schemas.openxmlformats.org/officeDocument/2006/relationships" r:id="rId3"/>
          <a:extLst>
            <a:ext uri="{FF2B5EF4-FFF2-40B4-BE49-F238E27FC236}">
              <a16:creationId xmlns:a16="http://schemas.microsoft.com/office/drawing/2014/main" id="{EA3DD53D-2F4D-44BB-A985-6C2D7D54129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34850" y="152400"/>
          <a:ext cx="238125" cy="23812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2</xdr:col>
      <xdr:colOff>66675</xdr:colOff>
      <xdr:row>39</xdr:row>
      <xdr:rowOff>123825</xdr:rowOff>
    </xdr:from>
    <xdr:to>
      <xdr:col>5</xdr:col>
      <xdr:colOff>785892</xdr:colOff>
      <xdr:row>53</xdr:row>
      <xdr:rowOff>161925</xdr:rowOff>
    </xdr:to>
    <xdr:graphicFrame macro="">
      <xdr:nvGraphicFramePr>
        <xdr:cNvPr id="4" name="Diagramm 3">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923925</xdr:colOff>
      <xdr:row>39</xdr:row>
      <xdr:rowOff>104775</xdr:rowOff>
    </xdr:from>
    <xdr:to>
      <xdr:col>10</xdr:col>
      <xdr:colOff>142876</xdr:colOff>
      <xdr:row>53</xdr:row>
      <xdr:rowOff>104775</xdr:rowOff>
    </xdr:to>
    <xdr:graphicFrame macro="">
      <xdr:nvGraphicFramePr>
        <xdr:cNvPr id="5" name="Diagramm 4">
          <a:extLst>
            <a:ext uri="{FF2B5EF4-FFF2-40B4-BE49-F238E27FC236}">
              <a16:creationId xmlns:a16="http://schemas.microsoft.com/office/drawing/2014/main" id="{00000000-0008-0000-0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6</xdr:col>
      <xdr:colOff>383120</xdr:colOff>
      <xdr:row>9</xdr:row>
      <xdr:rowOff>75142</xdr:rowOff>
    </xdr:from>
    <xdr:to>
      <xdr:col>9</xdr:col>
      <xdr:colOff>646964</xdr:colOff>
      <xdr:row>21</xdr:row>
      <xdr:rowOff>22042</xdr:rowOff>
    </xdr:to>
    <xdr:pic>
      <xdr:nvPicPr>
        <xdr:cNvPr id="3" name="Picture 2">
          <a:extLst>
            <a:ext uri="{FF2B5EF4-FFF2-40B4-BE49-F238E27FC236}">
              <a16:creationId xmlns:a16="http://schemas.microsoft.com/office/drawing/2014/main" id="{560603C1-8B90-43FE-95C6-FBCF27157EF4}"/>
            </a:ext>
          </a:extLst>
        </xdr:cNvPr>
        <xdr:cNvPicPr>
          <a:picLocks noChangeAspect="1"/>
        </xdr:cNvPicPr>
      </xdr:nvPicPr>
      <xdr:blipFill>
        <a:blip xmlns:r="http://schemas.openxmlformats.org/officeDocument/2006/relationships" r:embed="rId3"/>
        <a:stretch>
          <a:fillRect/>
        </a:stretch>
      </xdr:blipFill>
      <xdr:spPr>
        <a:xfrm>
          <a:off x="5326595" y="1865842"/>
          <a:ext cx="3416619" cy="2347200"/>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fLocksWithSheet="0"/>
  </xdr:twoCellAnchor>
  <xdr:twoCellAnchor editAs="oneCell">
    <xdr:from>
      <xdr:col>2</xdr:col>
      <xdr:colOff>75142</xdr:colOff>
      <xdr:row>9</xdr:row>
      <xdr:rowOff>82549</xdr:rowOff>
    </xdr:from>
    <xdr:to>
      <xdr:col>5</xdr:col>
      <xdr:colOff>260351</xdr:colOff>
      <xdr:row>21</xdr:row>
      <xdr:rowOff>29632</xdr:rowOff>
    </xdr:to>
    <xdr:pic>
      <xdr:nvPicPr>
        <xdr:cNvPr id="6" name="Picture 5">
          <a:extLst>
            <a:ext uri="{FF2B5EF4-FFF2-40B4-BE49-F238E27FC236}">
              <a16:creationId xmlns:a16="http://schemas.microsoft.com/office/drawing/2014/main" id="{91991D8E-0824-494C-ABDA-CA276BF069C6}"/>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4035" t="-449" r="13985" b="449"/>
        <a:stretch/>
      </xdr:blipFill>
      <xdr:spPr>
        <a:xfrm>
          <a:off x="503767" y="2530474"/>
          <a:ext cx="3442759" cy="2347383"/>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fLocksWithSheet="0"/>
  </xdr:twoCellAnchor>
  <xdr:twoCellAnchor editAs="oneCell">
    <xdr:from>
      <xdr:col>0</xdr:col>
      <xdr:colOff>28575</xdr:colOff>
      <xdr:row>0</xdr:row>
      <xdr:rowOff>66675</xdr:rowOff>
    </xdr:from>
    <xdr:to>
      <xdr:col>2</xdr:col>
      <xdr:colOff>5817</xdr:colOff>
      <xdr:row>2</xdr:row>
      <xdr:rowOff>95250</xdr:rowOff>
    </xdr:to>
    <xdr:pic>
      <xdr:nvPicPr>
        <xdr:cNvPr id="8" name="Picture 7">
          <a:extLst>
            <a:ext uri="{FF2B5EF4-FFF2-40B4-BE49-F238E27FC236}">
              <a16:creationId xmlns:a16="http://schemas.microsoft.com/office/drawing/2014/main" id="{82561F04-1134-4D5D-93AC-B617D8895E9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8575" y="66675"/>
          <a:ext cx="405867" cy="3810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47625</xdr:colOff>
      <xdr:row>0</xdr:row>
      <xdr:rowOff>66675</xdr:rowOff>
    </xdr:from>
    <xdr:to>
      <xdr:col>1</xdr:col>
      <xdr:colOff>224892</xdr:colOff>
      <xdr:row>2</xdr:row>
      <xdr:rowOff>95250</xdr:rowOff>
    </xdr:to>
    <xdr:pic>
      <xdr:nvPicPr>
        <xdr:cNvPr id="3" name="Picture 2">
          <a:extLst>
            <a:ext uri="{FF2B5EF4-FFF2-40B4-BE49-F238E27FC236}">
              <a16:creationId xmlns:a16="http://schemas.microsoft.com/office/drawing/2014/main" id="{A903991C-1917-4474-B0CC-A40EDF8554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66675"/>
          <a:ext cx="405867" cy="38100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9525</xdr:colOff>
      <xdr:row>21</xdr:row>
      <xdr:rowOff>171450</xdr:rowOff>
    </xdr:from>
    <xdr:to>
      <xdr:col>18</xdr:col>
      <xdr:colOff>9525</xdr:colOff>
      <xdr:row>39</xdr:row>
      <xdr:rowOff>9525</xdr:rowOff>
    </xdr:to>
    <xdr:graphicFrame macro="">
      <xdr:nvGraphicFramePr>
        <xdr:cNvPr id="2" name="Diagramm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19051</xdr:colOff>
      <xdr:row>60</xdr:row>
      <xdr:rowOff>0</xdr:rowOff>
    </xdr:from>
    <xdr:to>
      <xdr:col>18</xdr:col>
      <xdr:colOff>28576</xdr:colOff>
      <xdr:row>74</xdr:row>
      <xdr:rowOff>76200</xdr:rowOff>
    </xdr:to>
    <xdr:graphicFrame macro="">
      <xdr:nvGraphicFramePr>
        <xdr:cNvPr id="3" name="Diagramm 2">
          <a:extLst>
            <a:ext uri="{FF2B5EF4-FFF2-40B4-BE49-F238E27FC236}">
              <a16:creationId xmlns:a16="http://schemas.microsoft.com/office/drawing/2014/main" id="{00000000-0008-0000-0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9525</xdr:colOff>
      <xdr:row>39</xdr:row>
      <xdr:rowOff>180975</xdr:rowOff>
    </xdr:from>
    <xdr:to>
      <xdr:col>18</xdr:col>
      <xdr:colOff>19050</xdr:colOff>
      <xdr:row>59</xdr:row>
      <xdr:rowOff>11250</xdr:rowOff>
    </xdr:to>
    <xdr:graphicFrame macro="">
      <xdr:nvGraphicFramePr>
        <xdr:cNvPr id="4" name="Diagramm 3">
          <a:extLst>
            <a:ext uri="{FF2B5EF4-FFF2-40B4-BE49-F238E27FC236}">
              <a16:creationId xmlns:a16="http://schemas.microsoft.com/office/drawing/2014/main" id="{00000000-0008-0000-0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19050</xdr:colOff>
      <xdr:row>6</xdr:row>
      <xdr:rowOff>114300</xdr:rowOff>
    </xdr:from>
    <xdr:to>
      <xdr:col>5</xdr:col>
      <xdr:colOff>571050</xdr:colOff>
      <xdr:row>21</xdr:row>
      <xdr:rowOff>0</xdr:rowOff>
    </xdr:to>
    <xdr:graphicFrame macro="">
      <xdr:nvGraphicFramePr>
        <xdr:cNvPr id="5" name="Diagramm 4">
          <a:extLst>
            <a:ext uri="{FF2B5EF4-FFF2-40B4-BE49-F238E27FC236}">
              <a16:creationId xmlns:a16="http://schemas.microsoft.com/office/drawing/2014/main" id="{00000000-0008-0000-05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752474</xdr:colOff>
      <xdr:row>6</xdr:row>
      <xdr:rowOff>114300</xdr:rowOff>
    </xdr:from>
    <xdr:to>
      <xdr:col>10</xdr:col>
      <xdr:colOff>542474</xdr:colOff>
      <xdr:row>21</xdr:row>
      <xdr:rowOff>0</xdr:rowOff>
    </xdr:to>
    <xdr:graphicFrame macro="">
      <xdr:nvGraphicFramePr>
        <xdr:cNvPr id="6" name="Diagramm 5">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742949</xdr:colOff>
      <xdr:row>6</xdr:row>
      <xdr:rowOff>114300</xdr:rowOff>
    </xdr:from>
    <xdr:to>
      <xdr:col>17</xdr:col>
      <xdr:colOff>400049</xdr:colOff>
      <xdr:row>21</xdr:row>
      <xdr:rowOff>0</xdr:rowOff>
    </xdr:to>
    <xdr:graphicFrame macro="">
      <xdr:nvGraphicFramePr>
        <xdr:cNvPr id="8" name="Diagramm 7">
          <a:extLst>
            <a:ext uri="{FF2B5EF4-FFF2-40B4-BE49-F238E27FC236}">
              <a16:creationId xmlns:a16="http://schemas.microsoft.com/office/drawing/2014/main" id="{00000000-0008-0000-05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0</xdr:col>
      <xdr:colOff>76200</xdr:colOff>
      <xdr:row>0</xdr:row>
      <xdr:rowOff>66675</xdr:rowOff>
    </xdr:from>
    <xdr:to>
      <xdr:col>0</xdr:col>
      <xdr:colOff>482067</xdr:colOff>
      <xdr:row>2</xdr:row>
      <xdr:rowOff>95250</xdr:rowOff>
    </xdr:to>
    <xdr:pic>
      <xdr:nvPicPr>
        <xdr:cNvPr id="9" name="Picture 8">
          <a:extLst>
            <a:ext uri="{FF2B5EF4-FFF2-40B4-BE49-F238E27FC236}">
              <a16:creationId xmlns:a16="http://schemas.microsoft.com/office/drawing/2014/main" id="{0D865651-323B-48CF-936D-DF0952A8CCB8}"/>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6200" y="66675"/>
          <a:ext cx="405867" cy="38100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47625</xdr:colOff>
      <xdr:row>0</xdr:row>
      <xdr:rowOff>76200</xdr:rowOff>
    </xdr:from>
    <xdr:to>
      <xdr:col>1</xdr:col>
      <xdr:colOff>177267</xdr:colOff>
      <xdr:row>2</xdr:row>
      <xdr:rowOff>104775</xdr:rowOff>
    </xdr:to>
    <xdr:pic>
      <xdr:nvPicPr>
        <xdr:cNvPr id="3" name="Picture 2">
          <a:extLst>
            <a:ext uri="{FF2B5EF4-FFF2-40B4-BE49-F238E27FC236}">
              <a16:creationId xmlns:a16="http://schemas.microsoft.com/office/drawing/2014/main" id="{32AFEF22-4C0E-4E66-942D-43890E98BC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76200"/>
          <a:ext cx="405867" cy="381000"/>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0</xdr:col>
      <xdr:colOff>463017</xdr:colOff>
      <xdr:row>2</xdr:row>
      <xdr:rowOff>85725</xdr:rowOff>
    </xdr:to>
    <xdr:pic>
      <xdr:nvPicPr>
        <xdr:cNvPr id="4" name="Picture 3">
          <a:extLst>
            <a:ext uri="{FF2B5EF4-FFF2-40B4-BE49-F238E27FC236}">
              <a16:creationId xmlns:a16="http://schemas.microsoft.com/office/drawing/2014/main" id="{E99BB9B7-CAF0-4D3E-9D9F-008D566E99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150" y="57150"/>
          <a:ext cx="405867" cy="38100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76200</xdr:colOff>
      <xdr:row>0</xdr:row>
      <xdr:rowOff>66675</xdr:rowOff>
    </xdr:from>
    <xdr:to>
      <xdr:col>0</xdr:col>
      <xdr:colOff>482067</xdr:colOff>
      <xdr:row>2</xdr:row>
      <xdr:rowOff>95250</xdr:rowOff>
    </xdr:to>
    <xdr:pic>
      <xdr:nvPicPr>
        <xdr:cNvPr id="3" name="Picture 2">
          <a:extLst>
            <a:ext uri="{FF2B5EF4-FFF2-40B4-BE49-F238E27FC236}">
              <a16:creationId xmlns:a16="http://schemas.microsoft.com/office/drawing/2014/main" id="{2D1B038E-D29C-4217-ACAA-58A5C5627B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66675"/>
          <a:ext cx="405867" cy="381000"/>
        </a:xfrm>
        <a:prstGeom prst="rect">
          <a:avLst/>
        </a:prstGeom>
      </xdr:spPr>
    </xdr:pic>
    <xdr:clientData/>
  </xdr:twoCellAnchor>
</xdr:wsDr>
</file>

<file path=xl/theme/theme1.xml><?xml version="1.0" encoding="utf-8"?>
<a:theme xmlns:a="http://schemas.openxmlformats.org/drawingml/2006/main" name="immocation color theme">
  <a:themeElements>
    <a:clrScheme name="immocation">
      <a:dk1>
        <a:sysClr val="windowText" lastClr="000000"/>
      </a:dk1>
      <a:lt1>
        <a:sysClr val="window" lastClr="FFFFFF"/>
      </a:lt1>
      <a:dk2>
        <a:srgbClr val="19323C"/>
      </a:dk2>
      <a:lt2>
        <a:srgbClr val="F3F5F5"/>
      </a:lt2>
      <a:accent1>
        <a:srgbClr val="E03145"/>
      </a:accent1>
      <a:accent2>
        <a:srgbClr val="EA8E33"/>
      </a:accent2>
      <a:accent3>
        <a:srgbClr val="237C91"/>
      </a:accent3>
      <a:accent4>
        <a:srgbClr val="4BC52B"/>
      </a:accent4>
      <a:accent5>
        <a:srgbClr val="B9ADA2"/>
      </a:accent5>
      <a:accent6>
        <a:srgbClr val="009900"/>
      </a:accent6>
      <a:hlink>
        <a:srgbClr val="19323C"/>
      </a:hlink>
      <a:folHlink>
        <a:srgbClr val="19323C"/>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immocation color theme" id="{B50502F5-AAE1-4079-B925-22020F9FE4AD}" vid="{60DD3594-D578-4DDB-BB6C-B92411CB27C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immocation.de/" TargetMode="External"/><Relationship Id="rId1" Type="http://schemas.openxmlformats.org/officeDocument/2006/relationships/hyperlink" Target="http://www.immocation.d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pageSetUpPr fitToPage="1"/>
  </sheetPr>
  <dimension ref="B1:AC43"/>
  <sheetViews>
    <sheetView showGridLines="0" showRowColHeaders="0" workbookViewId="0">
      <pane ySplit="4" topLeftCell="A5" activePane="bottomLeft" state="frozen"/>
      <selection pane="bottomLeft" activeCell="C42" sqref="C42:L42"/>
    </sheetView>
  </sheetViews>
  <sheetFormatPr baseColWidth="10" defaultColWidth="9.1640625" defaultRowHeight="15"/>
  <cols>
    <col min="1" max="1" width="9.1640625" style="5"/>
    <col min="2" max="2" width="8" style="5" customWidth="1"/>
    <col min="3" max="3" width="33.6640625" style="5" customWidth="1"/>
    <col min="4" max="12" width="10.6640625" style="5" customWidth="1"/>
    <col min="13" max="16384" width="9.1640625" style="5"/>
  </cols>
  <sheetData>
    <row r="1" spans="2:29" s="113" customFormat="1" ht="12.75" customHeight="1">
      <c r="B1" s="430" t="s">
        <v>254</v>
      </c>
      <c r="C1" s="430"/>
      <c r="K1" s="110"/>
      <c r="L1" s="110"/>
      <c r="M1" s="430"/>
      <c r="N1" s="430"/>
      <c r="O1" s="430"/>
      <c r="P1" s="430"/>
      <c r="Q1" s="430"/>
      <c r="U1" s="177"/>
      <c r="X1" s="177"/>
      <c r="AB1" s="430"/>
      <c r="AC1" s="431"/>
    </row>
    <row r="2" spans="2:29" s="113" customFormat="1" ht="15" customHeight="1">
      <c r="B2" s="430"/>
      <c r="C2" s="430"/>
      <c r="K2" s="110"/>
      <c r="L2" s="110"/>
      <c r="M2" s="430"/>
      <c r="N2" s="430"/>
      <c r="O2" s="430"/>
      <c r="P2" s="430"/>
      <c r="Q2" s="430"/>
      <c r="U2" s="177"/>
      <c r="X2" s="177"/>
      <c r="AB2" s="430"/>
      <c r="AC2" s="431"/>
    </row>
    <row r="3" spans="2:29" s="113" customFormat="1" ht="12.75" customHeight="1">
      <c r="B3" s="430"/>
      <c r="C3" s="430"/>
      <c r="K3" s="110"/>
      <c r="L3" s="110"/>
      <c r="M3" s="430"/>
      <c r="N3" s="430"/>
      <c r="O3" s="430"/>
      <c r="P3" s="430"/>
      <c r="Q3" s="430"/>
      <c r="U3" s="177"/>
      <c r="X3" s="177"/>
      <c r="AB3" s="430"/>
      <c r="AC3" s="431"/>
    </row>
    <row r="4" spans="2:29" ht="18.75" customHeight="1">
      <c r="U4" s="4"/>
      <c r="V4" s="4"/>
      <c r="W4" s="4"/>
      <c r="X4" s="4"/>
    </row>
    <row r="5" spans="2:29" ht="12.75" customHeight="1" thickBot="1"/>
    <row r="6" spans="2:29">
      <c r="B6" s="178"/>
      <c r="C6" s="179"/>
      <c r="D6" s="179"/>
      <c r="E6" s="179"/>
      <c r="F6" s="179"/>
      <c r="G6" s="179"/>
      <c r="H6" s="179"/>
      <c r="I6" s="179"/>
      <c r="J6" s="179"/>
      <c r="K6" s="179"/>
      <c r="L6" s="179"/>
      <c r="M6" s="180"/>
    </row>
    <row r="7" spans="2:29" ht="33">
      <c r="B7" s="181"/>
      <c r="C7" s="425" t="s">
        <v>275</v>
      </c>
      <c r="D7" s="425"/>
      <c r="E7" s="425"/>
      <c r="F7" s="425"/>
      <c r="G7" s="425"/>
      <c r="H7" s="425"/>
      <c r="I7" s="425"/>
      <c r="J7" s="425"/>
      <c r="K7" s="425"/>
      <c r="L7" s="425"/>
      <c r="M7" s="182"/>
    </row>
    <row r="8" spans="2:29">
      <c r="B8" s="181"/>
      <c r="C8"/>
      <c r="D8"/>
      <c r="E8"/>
      <c r="F8"/>
      <c r="G8"/>
      <c r="H8"/>
      <c r="I8"/>
      <c r="J8"/>
      <c r="K8"/>
      <c r="L8"/>
      <c r="M8" s="182"/>
    </row>
    <row r="9" spans="2:29">
      <c r="B9" s="181"/>
      <c r="C9"/>
      <c r="D9"/>
      <c r="E9"/>
      <c r="F9"/>
      <c r="G9"/>
      <c r="H9"/>
      <c r="I9"/>
      <c r="J9"/>
      <c r="K9"/>
      <c r="L9"/>
      <c r="M9" s="182"/>
    </row>
    <row r="10" spans="2:29">
      <c r="B10" s="181"/>
      <c r="C10"/>
      <c r="D10"/>
      <c r="E10"/>
      <c r="F10"/>
      <c r="G10"/>
      <c r="H10"/>
      <c r="I10"/>
      <c r="J10"/>
      <c r="K10"/>
      <c r="L10"/>
      <c r="M10" s="182"/>
    </row>
    <row r="11" spans="2:29">
      <c r="B11" s="181"/>
      <c r="C11"/>
      <c r="D11"/>
      <c r="E11"/>
      <c r="F11"/>
      <c r="G11"/>
      <c r="H11"/>
      <c r="I11"/>
      <c r="J11"/>
      <c r="K11"/>
      <c r="L11"/>
      <c r="M11" s="182"/>
    </row>
    <row r="12" spans="2:29">
      <c r="B12" s="181"/>
      <c r="C12"/>
      <c r="D12"/>
      <c r="E12"/>
      <c r="F12"/>
      <c r="G12"/>
      <c r="H12"/>
      <c r="I12"/>
      <c r="J12"/>
      <c r="K12"/>
      <c r="L12"/>
      <c r="M12" s="182"/>
    </row>
    <row r="13" spans="2:29">
      <c r="B13" s="181"/>
      <c r="C13"/>
      <c r="D13"/>
      <c r="E13"/>
      <c r="F13"/>
      <c r="G13"/>
      <c r="H13"/>
      <c r="I13"/>
      <c r="J13"/>
      <c r="K13"/>
      <c r="L13"/>
      <c r="M13" s="182"/>
    </row>
    <row r="14" spans="2:29">
      <c r="B14" s="181"/>
      <c r="C14"/>
      <c r="D14"/>
      <c r="E14"/>
      <c r="F14"/>
      <c r="G14"/>
      <c r="H14"/>
      <c r="I14"/>
      <c r="J14"/>
      <c r="K14"/>
      <c r="L14"/>
      <c r="M14" s="182"/>
    </row>
    <row r="15" spans="2:29">
      <c r="B15" s="181"/>
      <c r="C15"/>
      <c r="D15"/>
      <c r="E15"/>
      <c r="F15"/>
      <c r="G15"/>
      <c r="H15"/>
      <c r="I15"/>
      <c r="J15"/>
      <c r="K15"/>
      <c r="L15"/>
      <c r="M15" s="182"/>
    </row>
    <row r="16" spans="2:29">
      <c r="B16" s="181"/>
      <c r="C16"/>
      <c r="D16"/>
      <c r="E16"/>
      <c r="F16"/>
      <c r="G16"/>
      <c r="H16"/>
      <c r="I16"/>
      <c r="J16"/>
      <c r="K16"/>
      <c r="L16"/>
      <c r="M16" s="182"/>
    </row>
    <row r="17" spans="2:13" ht="22.5" customHeight="1">
      <c r="B17" s="181"/>
      <c r="C17"/>
      <c r="D17"/>
      <c r="E17"/>
      <c r="F17"/>
      <c r="G17"/>
      <c r="H17"/>
      <c r="I17"/>
      <c r="J17"/>
      <c r="K17"/>
      <c r="L17"/>
      <c r="M17" s="182"/>
    </row>
    <row r="18" spans="2:13" ht="15" customHeight="1">
      <c r="B18" s="181"/>
      <c r="C18" s="429" t="s">
        <v>277</v>
      </c>
      <c r="D18" s="429"/>
      <c r="E18" s="429"/>
      <c r="F18" s="429"/>
      <c r="G18" s="429"/>
      <c r="H18" s="429"/>
      <c r="I18" s="429"/>
      <c r="J18" s="429"/>
      <c r="K18" s="429"/>
      <c r="L18" s="429"/>
      <c r="M18" s="182"/>
    </row>
    <row r="19" spans="2:13">
      <c r="B19" s="181"/>
      <c r="C19" s="429"/>
      <c r="D19" s="429"/>
      <c r="E19" s="429"/>
      <c r="F19" s="429"/>
      <c r="G19" s="429"/>
      <c r="H19" s="429"/>
      <c r="I19" s="429"/>
      <c r="J19" s="429"/>
      <c r="K19" s="429"/>
      <c r="L19" s="429"/>
      <c r="M19" s="182"/>
    </row>
    <row r="20" spans="2:13">
      <c r="B20" s="181"/>
      <c r="C20" s="429"/>
      <c r="D20" s="429"/>
      <c r="E20" s="429"/>
      <c r="F20" s="429"/>
      <c r="G20" s="429"/>
      <c r="H20" s="429"/>
      <c r="I20" s="429"/>
      <c r="J20" s="429"/>
      <c r="K20" s="429"/>
      <c r="L20" s="429"/>
      <c r="M20" s="182"/>
    </row>
    <row r="21" spans="2:13">
      <c r="B21" s="181"/>
      <c r="C21" s="429"/>
      <c r="D21" s="429"/>
      <c r="E21" s="429"/>
      <c r="F21" s="429"/>
      <c r="G21" s="429"/>
      <c r="H21" s="429"/>
      <c r="I21" s="429"/>
      <c r="J21" s="429"/>
      <c r="K21" s="429"/>
      <c r="L21" s="429"/>
      <c r="M21" s="182"/>
    </row>
    <row r="22" spans="2:13">
      <c r="B22" s="181"/>
      <c r="C22" s="429"/>
      <c r="D22" s="429"/>
      <c r="E22" s="429"/>
      <c r="F22" s="429"/>
      <c r="G22" s="429"/>
      <c r="H22" s="429"/>
      <c r="I22" s="429"/>
      <c r="J22" s="429"/>
      <c r="K22" s="429"/>
      <c r="L22" s="429"/>
      <c r="M22" s="182"/>
    </row>
    <row r="23" spans="2:13">
      <c r="B23" s="181"/>
      <c r="C23" s="429"/>
      <c r="D23" s="429"/>
      <c r="E23" s="429"/>
      <c r="F23" s="429"/>
      <c r="G23" s="429"/>
      <c r="H23" s="429"/>
      <c r="I23" s="429"/>
      <c r="J23" s="429"/>
      <c r="K23" s="429"/>
      <c r="L23" s="429"/>
      <c r="M23" s="182"/>
    </row>
    <row r="24" spans="2:13">
      <c r="B24" s="181"/>
      <c r="C24" s="429"/>
      <c r="D24" s="429"/>
      <c r="E24" s="429"/>
      <c r="F24" s="429"/>
      <c r="G24" s="429"/>
      <c r="H24" s="429"/>
      <c r="I24" s="429"/>
      <c r="J24" s="429"/>
      <c r="K24" s="429"/>
      <c r="L24" s="429"/>
      <c r="M24" s="182"/>
    </row>
    <row r="25" spans="2:13">
      <c r="B25" s="181"/>
      <c r="C25" s="429"/>
      <c r="D25" s="429"/>
      <c r="E25" s="429"/>
      <c r="F25" s="429"/>
      <c r="G25" s="429"/>
      <c r="H25" s="429"/>
      <c r="I25" s="429"/>
      <c r="J25" s="429"/>
      <c r="K25" s="429"/>
      <c r="L25" s="429"/>
      <c r="M25" s="182"/>
    </row>
    <row r="26" spans="2:13">
      <c r="B26" s="181"/>
      <c r="C26" s="429"/>
      <c r="D26" s="429"/>
      <c r="E26" s="429"/>
      <c r="F26" s="429"/>
      <c r="G26" s="429"/>
      <c r="H26" s="429"/>
      <c r="I26" s="429"/>
      <c r="J26" s="429"/>
      <c r="K26" s="429"/>
      <c r="L26" s="429"/>
      <c r="M26" s="182"/>
    </row>
    <row r="27" spans="2:13">
      <c r="B27" s="181"/>
      <c r="C27" s="429"/>
      <c r="D27" s="429"/>
      <c r="E27" s="429"/>
      <c r="F27" s="429"/>
      <c r="G27" s="429"/>
      <c r="H27" s="429"/>
      <c r="I27" s="429"/>
      <c r="J27" s="429"/>
      <c r="K27" s="429"/>
      <c r="L27" s="429"/>
      <c r="M27" s="182"/>
    </row>
    <row r="28" spans="2:13">
      <c r="B28" s="181"/>
      <c r="C28" s="429"/>
      <c r="D28" s="429"/>
      <c r="E28" s="429"/>
      <c r="F28" s="429"/>
      <c r="G28" s="429"/>
      <c r="H28" s="429"/>
      <c r="I28" s="429"/>
      <c r="J28" s="429"/>
      <c r="K28" s="429"/>
      <c r="L28" s="429"/>
      <c r="M28" s="182"/>
    </row>
    <row r="29" spans="2:13">
      <c r="B29" s="181"/>
      <c r="C29" s="429"/>
      <c r="D29" s="429"/>
      <c r="E29" s="429"/>
      <c r="F29" s="429"/>
      <c r="G29" s="429"/>
      <c r="H29" s="429"/>
      <c r="I29" s="429"/>
      <c r="J29" s="429"/>
      <c r="K29" s="429"/>
      <c r="L29" s="429"/>
      <c r="M29" s="182"/>
    </row>
    <row r="30" spans="2:13">
      <c r="B30" s="181"/>
      <c r="C30" s="429"/>
      <c r="D30" s="429"/>
      <c r="E30" s="429"/>
      <c r="F30" s="429"/>
      <c r="G30" s="429"/>
      <c r="H30" s="429"/>
      <c r="I30" s="429"/>
      <c r="J30" s="429"/>
      <c r="K30" s="429"/>
      <c r="L30" s="429"/>
      <c r="M30" s="182"/>
    </row>
    <row r="31" spans="2:13">
      <c r="B31" s="181"/>
      <c r="C31" s="429"/>
      <c r="D31" s="429"/>
      <c r="E31" s="429"/>
      <c r="F31" s="429"/>
      <c r="G31" s="429"/>
      <c r="H31" s="429"/>
      <c r="I31" s="429"/>
      <c r="J31" s="429"/>
      <c r="K31" s="429"/>
      <c r="L31" s="429"/>
      <c r="M31" s="182"/>
    </row>
    <row r="32" spans="2:13">
      <c r="B32" s="181"/>
      <c r="C32" s="429"/>
      <c r="D32" s="429"/>
      <c r="E32" s="429"/>
      <c r="F32" s="429"/>
      <c r="G32" s="429"/>
      <c r="H32" s="429"/>
      <c r="I32" s="429"/>
      <c r="J32" s="429"/>
      <c r="K32" s="429"/>
      <c r="L32" s="429"/>
      <c r="M32" s="182"/>
    </row>
    <row r="33" spans="2:13">
      <c r="B33" s="181"/>
      <c r="C33" s="429"/>
      <c r="D33" s="429"/>
      <c r="E33" s="429"/>
      <c r="F33" s="429"/>
      <c r="G33" s="429"/>
      <c r="H33" s="429"/>
      <c r="I33" s="429"/>
      <c r="J33" s="429"/>
      <c r="K33" s="429"/>
      <c r="L33" s="429"/>
      <c r="M33" s="182"/>
    </row>
    <row r="34" spans="2:13">
      <c r="B34" s="181"/>
      <c r="C34" s="429"/>
      <c r="D34" s="429"/>
      <c r="E34" s="429"/>
      <c r="F34" s="429"/>
      <c r="G34" s="429"/>
      <c r="H34" s="429"/>
      <c r="I34" s="429"/>
      <c r="J34" s="429"/>
      <c r="K34" s="429"/>
      <c r="L34" s="429"/>
      <c r="M34" s="182"/>
    </row>
    <row r="35" spans="2:13">
      <c r="B35" s="181"/>
      <c r="C35" s="429"/>
      <c r="D35" s="429"/>
      <c r="E35" s="429"/>
      <c r="F35" s="429"/>
      <c r="G35" s="429"/>
      <c r="H35" s="429"/>
      <c r="I35" s="429"/>
      <c r="J35" s="429"/>
      <c r="K35" s="429"/>
      <c r="L35" s="429"/>
      <c r="M35" s="182"/>
    </row>
    <row r="36" spans="2:13">
      <c r="B36" s="181"/>
      <c r="C36" s="429"/>
      <c r="D36" s="429"/>
      <c r="E36" s="429"/>
      <c r="F36" s="429"/>
      <c r="G36" s="429"/>
      <c r="H36" s="429"/>
      <c r="I36" s="429"/>
      <c r="J36" s="429"/>
      <c r="K36" s="429"/>
      <c r="L36" s="429"/>
      <c r="M36" s="182"/>
    </row>
    <row r="37" spans="2:13">
      <c r="B37" s="181"/>
      <c r="C37" s="429"/>
      <c r="D37" s="429"/>
      <c r="E37" s="429"/>
      <c r="F37" s="429"/>
      <c r="G37" s="429"/>
      <c r="H37" s="429"/>
      <c r="I37" s="429"/>
      <c r="J37" s="429"/>
      <c r="K37" s="429"/>
      <c r="L37" s="429"/>
      <c r="M37" s="182"/>
    </row>
    <row r="38" spans="2:13">
      <c r="B38" s="181"/>
      <c r="C38" s="429"/>
      <c r="D38" s="429"/>
      <c r="E38" s="429"/>
      <c r="F38" s="429"/>
      <c r="G38" s="429"/>
      <c r="H38" s="429"/>
      <c r="I38" s="429"/>
      <c r="J38" s="429"/>
      <c r="K38" s="429"/>
      <c r="L38" s="429"/>
      <c r="M38" s="182"/>
    </row>
    <row r="39" spans="2:13">
      <c r="B39" s="181"/>
      <c r="C39" s="429"/>
      <c r="D39" s="429"/>
      <c r="E39" s="429"/>
      <c r="F39" s="429"/>
      <c r="G39" s="429"/>
      <c r="H39" s="429"/>
      <c r="I39" s="429"/>
      <c r="J39" s="429"/>
      <c r="K39" s="429"/>
      <c r="L39" s="429"/>
      <c r="M39" s="182"/>
    </row>
    <row r="40" spans="2:13">
      <c r="B40" s="181"/>
      <c r="C40" s="426"/>
      <c r="D40" s="426"/>
      <c r="E40" s="426"/>
      <c r="F40" s="426"/>
      <c r="G40" s="426"/>
      <c r="H40" s="426"/>
      <c r="I40" s="426"/>
      <c r="J40" s="426"/>
      <c r="K40" s="426"/>
      <c r="L40" s="426"/>
      <c r="M40" s="182"/>
    </row>
    <row r="41" spans="2:13">
      <c r="B41" s="181"/>
      <c r="C41" s="427" t="s">
        <v>422</v>
      </c>
      <c r="D41" s="427"/>
      <c r="E41" s="427"/>
      <c r="F41" s="427"/>
      <c r="G41" s="427"/>
      <c r="H41" s="427"/>
      <c r="I41" s="427"/>
      <c r="J41" s="427"/>
      <c r="K41" s="427"/>
      <c r="L41" s="427"/>
      <c r="M41" s="182"/>
    </row>
    <row r="42" spans="2:13">
      <c r="B42" s="181"/>
      <c r="C42" s="428" t="s">
        <v>276</v>
      </c>
      <c r="D42" s="428"/>
      <c r="E42" s="428"/>
      <c r="F42" s="428"/>
      <c r="G42" s="428"/>
      <c r="H42" s="428"/>
      <c r="I42" s="428"/>
      <c r="J42" s="428"/>
      <c r="K42" s="428"/>
      <c r="L42" s="428"/>
      <c r="M42" s="182"/>
    </row>
    <row r="43" spans="2:13" ht="16" thickBot="1">
      <c r="B43" s="183"/>
      <c r="C43" s="184"/>
      <c r="D43" s="184"/>
      <c r="E43" s="184"/>
      <c r="F43" s="184"/>
      <c r="G43" s="184"/>
      <c r="H43" s="184"/>
      <c r="I43" s="184"/>
      <c r="J43" s="184"/>
      <c r="K43" s="184"/>
      <c r="L43" s="184"/>
      <c r="M43" s="185"/>
    </row>
  </sheetData>
  <sheetProtection algorithmName="SHA-512" hashValue="evHHKk5g3lfvaYfA66DkKk4aQ1V2PGBa/oohpfOUVRhGKoIdgIwtOOEd8aCS3m3JxcYnr5gNBpxsDEWJRT1f5Q==" saltValue="RmLRUlSsNZlUSP+SfjnZyQ==" spinCount="100000" sheet="1" objects="1" scenarios="1"/>
  <mergeCells count="10">
    <mergeCell ref="P1:Q3"/>
    <mergeCell ref="AB1:AB3"/>
    <mergeCell ref="AC1:AC3"/>
    <mergeCell ref="M1:O3"/>
    <mergeCell ref="B1:C3"/>
    <mergeCell ref="C7:L7"/>
    <mergeCell ref="C40:L40"/>
    <mergeCell ref="C41:L41"/>
    <mergeCell ref="C42:L42"/>
    <mergeCell ref="C18:L39"/>
  </mergeCells>
  <hyperlinks>
    <hyperlink ref="C42" r:id="rId1" xr:uid="{00000000-0004-0000-0000-000000000000}"/>
    <hyperlink ref="B1:C3" location="Cockpit!A1" display="zurück zum Cockpit" xr:uid="{00000000-0004-0000-0000-000001000000}"/>
    <hyperlink ref="C42:L42" r:id="rId2" display="www.immocation.de" xr:uid="{00000000-0004-0000-0000-000002000000}"/>
  </hyperlinks>
  <pageMargins left="0.70866141732283472" right="0.70866141732283472" top="0.74803149606299213" bottom="0.74803149606299213" header="0.31496062992125984" footer="0.31496062992125984"/>
  <pageSetup paperSize="9" scale="88"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pageSetUpPr fitToPage="1"/>
  </sheetPr>
  <dimension ref="A1:W39"/>
  <sheetViews>
    <sheetView showGridLines="0" showRowColHeaders="0" tabSelected="1" zoomScaleNormal="100" workbookViewId="0">
      <pane ySplit="6" topLeftCell="A7" activePane="bottomLeft" state="frozen"/>
      <selection pane="bottomLeft" activeCell="J20" sqref="J20"/>
    </sheetView>
  </sheetViews>
  <sheetFormatPr baseColWidth="10" defaultColWidth="9.1640625" defaultRowHeight="15"/>
  <cols>
    <col min="1" max="1" width="3.33203125" style="420" customWidth="1"/>
    <col min="2" max="2" width="5.5" style="420" customWidth="1"/>
    <col min="3" max="3" width="20.5" style="420" customWidth="1"/>
    <col min="4" max="4" width="13.83203125" style="420" customWidth="1"/>
    <col min="5" max="5" width="16.5" style="420" customWidth="1"/>
    <col min="6" max="6" width="2.1640625" style="420" customWidth="1"/>
    <col min="7" max="7" width="9.1640625" style="420" customWidth="1"/>
    <col min="8" max="12" width="11.33203125" style="420" customWidth="1"/>
    <col min="13" max="16" width="11.33203125" style="421" customWidth="1"/>
    <col min="17" max="21" width="11.33203125" style="420" customWidth="1"/>
    <col min="22" max="22" width="27.5" style="420" customWidth="1"/>
    <col min="23" max="24" width="11.33203125" style="420" customWidth="1"/>
    <col min="25" max="16384" width="9.1640625" style="420"/>
  </cols>
  <sheetData>
    <row r="1" spans="1:23" s="412" customFormat="1" ht="12.75" customHeight="1">
      <c r="A1" s="411" t="s">
        <v>396</v>
      </c>
      <c r="C1" s="435" t="s">
        <v>278</v>
      </c>
      <c r="D1" s="435"/>
      <c r="H1" s="432"/>
      <c r="I1" s="432"/>
      <c r="J1" s="413"/>
      <c r="K1" s="436"/>
      <c r="L1" s="436"/>
      <c r="M1" s="414"/>
      <c r="N1" s="432"/>
      <c r="O1" s="432"/>
      <c r="P1" s="414"/>
      <c r="Q1" s="433"/>
      <c r="R1" s="433"/>
      <c r="T1" s="432"/>
      <c r="U1" s="432"/>
    </row>
    <row r="2" spans="1:23" s="412" customFormat="1" ht="15" customHeight="1">
      <c r="A2" s="411"/>
      <c r="C2" s="435"/>
      <c r="D2" s="435"/>
      <c r="H2" s="432"/>
      <c r="I2" s="432"/>
      <c r="J2" s="413"/>
      <c r="K2" s="436"/>
      <c r="L2" s="436"/>
      <c r="M2" s="414"/>
      <c r="N2" s="432"/>
      <c r="O2" s="432"/>
      <c r="P2" s="414"/>
      <c r="Q2" s="433"/>
      <c r="R2" s="433"/>
      <c r="T2" s="432"/>
      <c r="U2" s="432"/>
    </row>
    <row r="3" spans="1:23" s="412" customFormat="1" ht="12.75" customHeight="1">
      <c r="A3" s="411"/>
      <c r="C3" s="435"/>
      <c r="D3" s="435"/>
      <c r="H3" s="432"/>
      <c r="I3" s="432"/>
      <c r="J3" s="413"/>
      <c r="K3" s="436"/>
      <c r="L3" s="436"/>
      <c r="M3" s="414"/>
      <c r="N3" s="432"/>
      <c r="O3" s="432"/>
      <c r="P3" s="414"/>
      <c r="Q3" s="433"/>
      <c r="R3" s="433"/>
      <c r="T3" s="432"/>
      <c r="U3" s="432"/>
    </row>
    <row r="4" spans="1:23" s="415" customFormat="1" ht="18.75" customHeight="1">
      <c r="W4" s="416"/>
    </row>
    <row r="5" spans="1:23" s="415" customFormat="1" ht="18.75" customHeight="1">
      <c r="H5" s="417"/>
      <c r="S5" s="418"/>
      <c r="U5" s="417"/>
    </row>
    <row r="6" spans="1:23" s="419" customFormat="1" ht="30" customHeight="1"/>
    <row r="7" spans="1:23" ht="21.75" customHeight="1"/>
    <row r="8" spans="1:23" ht="21.75" customHeight="1">
      <c r="B8" s="422"/>
    </row>
    <row r="9" spans="1:23" ht="21.75" customHeight="1">
      <c r="B9" s="422"/>
    </row>
    <row r="10" spans="1:23" ht="33" customHeight="1"/>
    <row r="11" spans="1:23">
      <c r="M11" s="420"/>
      <c r="N11" s="420"/>
      <c r="O11" s="420"/>
      <c r="P11" s="420"/>
    </row>
    <row r="12" spans="1:23">
      <c r="M12" s="420"/>
      <c r="N12" s="420"/>
      <c r="O12" s="420"/>
      <c r="P12" s="420"/>
    </row>
    <row r="13" spans="1:23">
      <c r="M13" s="420"/>
      <c r="N13" s="420"/>
      <c r="O13" s="420"/>
      <c r="P13" s="420"/>
    </row>
    <row r="14" spans="1:23">
      <c r="M14" s="420"/>
      <c r="N14" s="420"/>
      <c r="O14" s="420"/>
      <c r="P14" s="420"/>
    </row>
    <row r="15" spans="1:23">
      <c r="M15" s="420"/>
      <c r="N15" s="420"/>
      <c r="O15" s="420"/>
      <c r="P15" s="420"/>
    </row>
    <row r="16" spans="1:23">
      <c r="K16" s="423"/>
      <c r="M16" s="420"/>
      <c r="N16" s="420"/>
      <c r="O16" s="420"/>
      <c r="P16" s="420"/>
    </row>
    <row r="17" spans="2:16">
      <c r="M17" s="420"/>
      <c r="N17" s="420"/>
      <c r="O17" s="420"/>
      <c r="P17" s="420"/>
    </row>
    <row r="18" spans="2:16">
      <c r="M18" s="420"/>
      <c r="N18" s="420"/>
      <c r="O18" s="420"/>
      <c r="P18" s="420"/>
    </row>
    <row r="19" spans="2:16">
      <c r="M19" s="420"/>
      <c r="N19" s="420"/>
      <c r="O19" s="420"/>
      <c r="P19" s="420"/>
    </row>
    <row r="20" spans="2:16">
      <c r="M20" s="420"/>
      <c r="N20" s="420"/>
      <c r="O20" s="420"/>
      <c r="P20" s="420"/>
    </row>
    <row r="21" spans="2:16">
      <c r="M21" s="420"/>
      <c r="N21" s="420"/>
      <c r="O21" s="420"/>
      <c r="P21" s="420"/>
    </row>
    <row r="22" spans="2:16">
      <c r="M22" s="420"/>
      <c r="N22" s="420"/>
      <c r="O22" s="420"/>
      <c r="P22" s="420"/>
    </row>
    <row r="23" spans="2:16">
      <c r="M23" s="420"/>
      <c r="N23" s="420"/>
      <c r="O23" s="420"/>
      <c r="P23" s="420"/>
    </row>
    <row r="24" spans="2:16">
      <c r="M24" s="420"/>
      <c r="N24" s="420"/>
      <c r="O24" s="420"/>
      <c r="P24" s="420"/>
    </row>
    <row r="25" spans="2:16">
      <c r="M25" s="420"/>
      <c r="N25" s="420"/>
      <c r="O25" s="420"/>
      <c r="P25" s="420"/>
    </row>
    <row r="26" spans="2:16">
      <c r="M26" s="420"/>
      <c r="N26" s="420"/>
      <c r="O26" s="420"/>
      <c r="P26" s="420"/>
    </row>
    <row r="27" spans="2:16">
      <c r="M27" s="420"/>
      <c r="N27" s="420"/>
      <c r="O27" s="420"/>
      <c r="P27" s="420"/>
    </row>
    <row r="28" spans="2:16">
      <c r="M28" s="420"/>
      <c r="N28" s="420"/>
      <c r="O28" s="420"/>
      <c r="P28" s="420"/>
    </row>
    <row r="29" spans="2:16">
      <c r="M29" s="420"/>
      <c r="N29" s="420"/>
      <c r="O29" s="420"/>
      <c r="P29" s="420"/>
    </row>
    <row r="30" spans="2:16">
      <c r="B30" s="434" t="s">
        <v>269</v>
      </c>
      <c r="C30" s="434"/>
      <c r="D30" s="434"/>
      <c r="E30" s="434"/>
      <c r="F30" s="434"/>
      <c r="G30" s="434"/>
      <c r="H30" s="434"/>
      <c r="I30" s="434"/>
      <c r="J30" s="434"/>
      <c r="K30" s="434"/>
      <c r="M30" s="420"/>
      <c r="N30" s="420"/>
      <c r="O30" s="420"/>
      <c r="P30" s="420"/>
    </row>
    <row r="31" spans="2:16">
      <c r="M31" s="420"/>
      <c r="N31" s="420"/>
      <c r="O31" s="420"/>
    </row>
    <row r="32" spans="2:16">
      <c r="M32" s="420"/>
      <c r="N32" s="420"/>
      <c r="O32" s="420"/>
    </row>
    <row r="33" spans="13:19">
      <c r="M33" s="420"/>
      <c r="N33" s="420"/>
      <c r="O33" s="420"/>
    </row>
    <row r="34" spans="13:19">
      <c r="N34" s="420"/>
      <c r="O34" s="420"/>
      <c r="S34" s="424"/>
    </row>
    <row r="35" spans="13:19">
      <c r="N35" s="420"/>
      <c r="O35" s="420"/>
    </row>
    <row r="36" spans="13:19">
      <c r="N36" s="420"/>
      <c r="O36" s="420"/>
    </row>
    <row r="37" spans="13:19">
      <c r="N37" s="420"/>
      <c r="O37" s="420"/>
    </row>
    <row r="38" spans="13:19">
      <c r="N38" s="420"/>
      <c r="O38" s="420"/>
    </row>
    <row r="39" spans="13:19">
      <c r="N39" s="420"/>
      <c r="O39" s="420"/>
    </row>
  </sheetData>
  <sheetProtection algorithmName="SHA-512" hashValue="H26gYIgb6KPhPuaifpysZqsxEV//jn8wVk927Q7MPhjLxKF+GqOszO3O/qOFHZuaX9OyBh4QiT+Qd9N22aZDaw==" saltValue="FvRVLn/EnePlg3uolXVMFQ==" spinCount="100000" sheet="1" objects="1" scenarios="1"/>
  <mergeCells count="7">
    <mergeCell ref="N1:O3"/>
    <mergeCell ref="Q1:R3"/>
    <mergeCell ref="T1:U3"/>
    <mergeCell ref="B30:K30"/>
    <mergeCell ref="C1:D3"/>
    <mergeCell ref="H1:I3"/>
    <mergeCell ref="K1:L3"/>
  </mergeCells>
  <hyperlinks>
    <hyperlink ref="B30" location="Deckblatt!A1" display="Keine Gewähr für die Richtigkeit der Angaben. Dieses Tool ersetzt keine fundierte Rechts-, Steuer- oder Finanzberatung. Mehr Details hier." xr:uid="{00000000-0004-0000-0100-000000000000}"/>
  </hyperlinks>
  <pageMargins left="0.25" right="0.25" top="0.75" bottom="0.75" header="0.3" footer="0.3"/>
  <pageSetup paperSize="9" scale="73"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pageSetUpPr fitToPage="1"/>
  </sheetPr>
  <dimension ref="A1:W33"/>
  <sheetViews>
    <sheetView showGridLines="0" showRowColHeaders="0" zoomScaleNormal="100" workbookViewId="0">
      <pane ySplit="6" topLeftCell="A7" activePane="bottomLeft" state="frozen"/>
      <selection pane="bottomLeft" activeCell="E12" sqref="E12"/>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65" t="s">
        <v>397</v>
      </c>
      <c r="C8" s="266"/>
      <c r="D8" s="266"/>
      <c r="E8" s="278"/>
      <c r="F8" s="278"/>
    </row>
    <row r="9" spans="1:23" ht="3.75" customHeight="1">
      <c r="B9" s="268"/>
      <c r="C9" s="268"/>
      <c r="D9" s="268"/>
      <c r="E9" s="270"/>
      <c r="F9" s="270"/>
      <c r="M9" s="5"/>
      <c r="N9" s="5"/>
      <c r="O9" s="5"/>
      <c r="P9" s="5"/>
    </row>
    <row r="10" spans="1:23" s="13" customFormat="1" ht="25.5" customHeight="1">
      <c r="B10" s="438"/>
      <c r="C10" s="439"/>
      <c r="D10" s="439"/>
      <c r="E10" s="440"/>
      <c r="F10" s="278"/>
    </row>
    <row r="11" spans="1:23" ht="25.5" customHeight="1">
      <c r="B11" s="268"/>
      <c r="C11" s="268"/>
      <c r="D11" s="268"/>
      <c r="E11" s="270"/>
      <c r="F11" s="270"/>
      <c r="M11" s="5"/>
      <c r="N11" s="5"/>
      <c r="O11" s="5"/>
      <c r="P11" s="5"/>
    </row>
    <row r="12" spans="1:23" s="13" customFormat="1" ht="25.5" customHeight="1">
      <c r="B12" s="265" t="s">
        <v>11</v>
      </c>
      <c r="C12" s="266"/>
      <c r="D12" s="266"/>
      <c r="E12" s="314"/>
      <c r="F12" s="278"/>
    </row>
    <row r="13" spans="1:23" ht="25.5" customHeight="1">
      <c r="B13" s="268"/>
      <c r="C13" s="268"/>
      <c r="D13" s="268"/>
      <c r="E13" s="270"/>
      <c r="F13" s="270"/>
      <c r="M13" s="5"/>
      <c r="N13" s="5"/>
      <c r="O13" s="5"/>
      <c r="P13" s="5"/>
    </row>
    <row r="14" spans="1:23" s="13" customFormat="1" ht="25.5" customHeight="1">
      <c r="B14" s="265" t="s">
        <v>318</v>
      </c>
      <c r="C14" s="266"/>
      <c r="D14" s="266"/>
      <c r="E14" s="315">
        <f ca="1">TODAY()</f>
        <v>45601</v>
      </c>
      <c r="F14" s="277"/>
      <c r="G14" s="276"/>
    </row>
    <row r="15" spans="1:23">
      <c r="M15" s="5"/>
      <c r="N15" s="5"/>
      <c r="O15" s="5"/>
      <c r="P15" s="5"/>
    </row>
    <row r="16" spans="1:23">
      <c r="M16" s="5"/>
      <c r="N16" s="5"/>
      <c r="O16" s="5"/>
      <c r="P16" s="5"/>
    </row>
    <row r="17" spans="1:23">
      <c r="M17" s="5"/>
      <c r="N17" s="5"/>
      <c r="O17" s="5"/>
      <c r="P17" s="5"/>
    </row>
    <row r="18" spans="1:23">
      <c r="M18" s="5"/>
      <c r="N18" s="5"/>
      <c r="O18" s="5"/>
      <c r="P18" s="5"/>
    </row>
    <row r="19" spans="1:23">
      <c r="M19" s="5"/>
      <c r="N19" s="5"/>
      <c r="O19" s="5"/>
      <c r="P19" s="5"/>
    </row>
    <row r="20" spans="1:23">
      <c r="K20"/>
      <c r="M20" s="5"/>
      <c r="N20" s="5"/>
      <c r="O20" s="5"/>
      <c r="P20" s="5"/>
    </row>
    <row r="21" spans="1:23">
      <c r="M21" s="5"/>
      <c r="N21" s="5"/>
      <c r="O21" s="5"/>
      <c r="P21" s="5"/>
    </row>
    <row r="22" spans="1:23">
      <c r="M22" s="5"/>
      <c r="N22" s="5"/>
      <c r="O22" s="5"/>
      <c r="P22" s="5"/>
    </row>
    <row r="23" spans="1:23">
      <c r="M23" s="5"/>
      <c r="N23" s="5"/>
      <c r="O23" s="5"/>
      <c r="P23" s="5"/>
    </row>
    <row r="24" spans="1:23">
      <c r="B24" s="441" t="s">
        <v>269</v>
      </c>
      <c r="C24" s="441"/>
      <c r="D24" s="441"/>
      <c r="E24" s="441"/>
      <c r="F24" s="441"/>
      <c r="G24" s="441"/>
      <c r="H24" s="441"/>
      <c r="I24" s="441"/>
      <c r="J24" s="441"/>
      <c r="K24" s="441"/>
      <c r="M24" s="5"/>
      <c r="N24" s="5"/>
      <c r="O24" s="5"/>
      <c r="P24" s="5"/>
    </row>
    <row r="25" spans="1:23">
      <c r="M25" s="5"/>
      <c r="N25" s="5"/>
      <c r="O25" s="5"/>
    </row>
    <row r="26" spans="1:23">
      <c r="M26" s="5"/>
      <c r="N26" s="5"/>
      <c r="O26" s="5"/>
    </row>
    <row r="27" spans="1:23">
      <c r="M27" s="5"/>
      <c r="N27" s="5"/>
      <c r="O27" s="5"/>
    </row>
    <row r="28" spans="1:23">
      <c r="N28" s="5"/>
      <c r="O28" s="5"/>
      <c r="S28" s="6"/>
    </row>
    <row r="29" spans="1:23">
      <c r="N29" s="5"/>
      <c r="O29" s="5"/>
    </row>
    <row r="30" spans="1:23" s="4" customFormat="1">
      <c r="A30" s="5"/>
      <c r="B30" s="5"/>
      <c r="C30" s="5"/>
      <c r="D30" s="5"/>
      <c r="E30" s="5"/>
      <c r="F30" s="5"/>
      <c r="G30" s="5"/>
      <c r="H30" s="5"/>
      <c r="I30" s="5"/>
      <c r="J30" s="5"/>
      <c r="K30" s="5"/>
      <c r="L30" s="5"/>
      <c r="N30" s="5"/>
      <c r="O30" s="5"/>
      <c r="Q30" s="5"/>
      <c r="R30" s="5"/>
      <c r="S30" s="5"/>
      <c r="T30" s="5"/>
      <c r="U30" s="5"/>
      <c r="V30" s="5"/>
      <c r="W30" s="5"/>
    </row>
    <row r="31" spans="1:23" s="4" customFormat="1">
      <c r="A31" s="5"/>
      <c r="B31" s="5"/>
      <c r="C31" s="5"/>
      <c r="D31" s="5"/>
      <c r="E31" s="5"/>
      <c r="F31" s="5"/>
      <c r="G31" s="5"/>
      <c r="H31" s="5"/>
      <c r="I31" s="5"/>
      <c r="J31" s="5"/>
      <c r="K31" s="5"/>
      <c r="L31" s="5"/>
      <c r="N31" s="5"/>
      <c r="O31" s="5"/>
      <c r="Q31" s="5"/>
      <c r="R31" s="5"/>
      <c r="S31" s="5"/>
      <c r="T31" s="5"/>
      <c r="U31" s="5"/>
      <c r="V31" s="5"/>
      <c r="W31" s="5"/>
    </row>
    <row r="32" spans="1:23" s="4" customFormat="1">
      <c r="A32" s="5"/>
      <c r="B32" s="5"/>
      <c r="C32" s="5"/>
      <c r="D32" s="5"/>
      <c r="E32" s="5"/>
      <c r="F32" s="5"/>
      <c r="G32" s="5"/>
      <c r="H32" s="5"/>
      <c r="I32" s="5"/>
      <c r="J32" s="5"/>
      <c r="K32" s="5"/>
      <c r="L32" s="5"/>
      <c r="N32" s="5"/>
      <c r="O32" s="5"/>
      <c r="Q32" s="5"/>
      <c r="R32" s="5"/>
      <c r="S32" s="5"/>
      <c r="T32" s="5"/>
      <c r="U32" s="5"/>
      <c r="V32" s="5"/>
      <c r="W32" s="5"/>
    </row>
    <row r="33" spans="1:23" s="4" customFormat="1">
      <c r="A33" s="5"/>
      <c r="B33" s="5"/>
      <c r="C33" s="5"/>
      <c r="D33" s="5"/>
      <c r="E33" s="5"/>
      <c r="F33" s="5"/>
      <c r="G33" s="5"/>
      <c r="H33" s="5"/>
      <c r="I33" s="5"/>
      <c r="J33" s="5"/>
      <c r="K33" s="5"/>
      <c r="L33" s="5"/>
      <c r="N33" s="5"/>
      <c r="O33" s="5"/>
      <c r="Q33" s="5"/>
      <c r="R33" s="5"/>
      <c r="S33" s="5"/>
      <c r="T33" s="5"/>
      <c r="U33" s="5"/>
      <c r="V33" s="5"/>
      <c r="W33" s="5"/>
    </row>
  </sheetData>
  <sheetProtection algorithmName="SHA-512" hashValue="t4r9/Bg4+GOJKPv43kX81wb4t8Rqu0cX1HdXuVXq+2EVjUX1JOXvjY6z3Fb0gGFBGjV/JOvjzsnX1CT5NplFTg==" saltValue="ULCm8EMR67v/5GDOgmTKzQ==" spinCount="100000" sheet="1" objects="1" scenarios="1"/>
  <mergeCells count="8">
    <mergeCell ref="N1:O3"/>
    <mergeCell ref="Q1:R3"/>
    <mergeCell ref="T1:U3"/>
    <mergeCell ref="B10:E10"/>
    <mergeCell ref="B24:K24"/>
    <mergeCell ref="C1:D3"/>
    <mergeCell ref="H1:I3"/>
    <mergeCell ref="K1:L3"/>
  </mergeCells>
  <dataValidations count="4">
    <dataValidation type="decimal" operator="greaterThan" allowBlank="1" showInputMessage="1" showErrorMessage="1" errorTitle="Wohnfläche" error="Bitte gib die Wohnfläche in m² ein. Bspw. 31 für 31 m²." promptTitle="Wohnfläche" prompt="Bitte gib die Wohnfläche der Wohnung in m² ein. Für 31 m², gib bitte 31 ein." sqref="E12" xr:uid="{00000000-0002-0000-0200-000000000000}">
      <formula1>0</formula1>
    </dataValidation>
    <dataValidation type="date" operator="greaterThanOrEqual" allowBlank="1" showInputMessage="1" showErrorMessage="1" errorTitle="Kauf-Datum" error="Bitte gib ein Datum ab dem 01.01.1900 ein." promptTitle="Kauf-Datum" prompt="Bitte gib hier ein, wann du die Wohnung kaufst oder gekauft hast. Du kannst zu Beginn auch einfach das Datum der Berechnung stehen lassen." sqref="E14" xr:uid="{00000000-0002-0000-0200-000001000000}">
      <formula1>1</formula1>
    </dataValidation>
    <dataValidation operator="lessThan" allowBlank="1" showInputMessage="1" errorTitle="Wo liegt die Wohnung" error="Bitte verwende nicht mehr als 60 Zeichen. Sonst passt die Adresse später nicht vernünftig auf die Ausdrucke der Bankunterlagen." promptTitle="Adresse" prompt="Bitte gib hier ein, wo die Wohnung liegt." sqref="B10:E10" xr:uid="{00000000-0002-0000-0200-000002000000}"/>
    <dataValidation type="decimal" operator="greaterThan" allowBlank="1" showInputMessage="1" showErrorMessage="1" errorTitle="Kaufpreis" error="Bitte gib den Kaufpreis als Zahl &gt; 0 ein." promptTitle="Kaufpreis" prompt="Bitte gib hier den Kaufpreis ein, mit dem du kalkulieren möchtest. Bspw. 55000 für 55 Tausend Euro." sqref="F8" xr:uid="{00000000-0002-0000-0200-000003000000}">
      <formula1>0</formula1>
    </dataValidation>
  </dataValidations>
  <hyperlinks>
    <hyperlink ref="B24" location="Deckblatt!A1" display="Keine Gewähr für die Richtigkeit der Angaben. Dieses Tool ersetzt keine fundierte Rechts-, Steuer- oder Finanzberatung. Mehr Details hier." xr:uid="{00000000-0004-0000-0200-000000000000}"/>
  </hyperlinks>
  <pageMargins left="0.25" right="0.25" top="0.75" bottom="0.75" header="0.3" footer="0.3"/>
  <pageSetup paperSize="9" scale="73"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pageSetUpPr fitToPage="1"/>
  </sheetPr>
  <dimension ref="A1:W30"/>
  <sheetViews>
    <sheetView showGridLines="0" showRowColHeaders="0" zoomScaleNormal="100" workbookViewId="0">
      <pane ySplit="6" topLeftCell="A7" activePane="bottomLeft" state="frozen"/>
      <selection pane="bottomLeft" activeCell="E10" sqref="E10"/>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65" t="s">
        <v>1</v>
      </c>
      <c r="C8" s="266"/>
      <c r="D8" s="267"/>
      <c r="E8" s="316"/>
      <c r="F8" s="278"/>
    </row>
    <row r="9" spans="1:23" ht="16">
      <c r="B9" s="268"/>
      <c r="C9" s="268"/>
      <c r="D9" s="268"/>
      <c r="E9" s="269"/>
      <c r="F9" s="270"/>
      <c r="M9" s="5"/>
      <c r="N9" s="5"/>
      <c r="O9" s="5"/>
      <c r="P9" s="5"/>
    </row>
    <row r="10" spans="1:23" s="13" customFormat="1" ht="25.5" customHeight="1">
      <c r="B10" s="265" t="s">
        <v>317</v>
      </c>
      <c r="C10" s="266"/>
      <c r="D10" s="266"/>
      <c r="E10" s="316"/>
      <c r="F10" s="278"/>
    </row>
    <row r="11" spans="1:23" ht="16">
      <c r="B11" s="268"/>
      <c r="C11" s="268"/>
      <c r="D11" s="268"/>
      <c r="E11" s="270"/>
      <c r="F11" s="270"/>
      <c r="M11" s="5"/>
      <c r="N11" s="5"/>
      <c r="O11" s="5"/>
      <c r="P11" s="5"/>
    </row>
    <row r="12" spans="1:23" ht="21" customHeight="1">
      <c r="B12" s="268"/>
      <c r="C12" s="268"/>
      <c r="D12" s="268"/>
      <c r="E12" s="270"/>
      <c r="F12" s="270"/>
      <c r="M12" s="5"/>
      <c r="N12" s="5"/>
      <c r="O12" s="5"/>
      <c r="P12" s="5"/>
    </row>
    <row r="13" spans="1:23" s="13" customFormat="1" ht="25.5" customHeight="1">
      <c r="B13" s="265" t="s">
        <v>17</v>
      </c>
      <c r="C13" s="266"/>
      <c r="D13" s="266"/>
      <c r="E13" s="277" t="str">
        <f>IF(AND(E8&gt;0,E10&gt;0),Cockpit!Q14,"-")</f>
        <v>-</v>
      </c>
      <c r="F13" s="372"/>
      <c r="G13" s="276" t="str">
        <f>E13</f>
        <v>-</v>
      </c>
    </row>
    <row r="14" spans="1:23">
      <c r="M14" s="5"/>
      <c r="N14" s="5"/>
      <c r="O14" s="5"/>
      <c r="P14" s="5"/>
    </row>
    <row r="15" spans="1:23" ht="15" customHeight="1">
      <c r="M15" s="5"/>
      <c r="N15" s="5"/>
      <c r="O15" s="5"/>
      <c r="P15" s="5"/>
    </row>
    <row r="16" spans="1:23" ht="15" customHeight="1">
      <c r="B16" s="444" t="str">
        <f>IF(AND(E8&gt;0,E10&gt;0),IF(E13&lt;0.04,"Bei der Wohnung musst du wahrscheinlich monatlich ordentlich Geld drauflegen.",IF(E13&lt;0.06,"Die Wohnung könnte finanziell interessant sein. Ein genauerer Blick lohnt sich.","Die Wohnung ist finanziell sehr interessant. Du hast gute Chancen, dass sie sich von selbst abbezahlt.")),"")</f>
        <v/>
      </c>
      <c r="C16" s="444"/>
      <c r="D16" s="444"/>
      <c r="E16" s="444"/>
      <c r="M16" s="5"/>
      <c r="N16" s="5"/>
      <c r="O16" s="5"/>
      <c r="P16" s="5"/>
    </row>
    <row r="17" spans="2:19">
      <c r="B17" s="444"/>
      <c r="C17" s="444"/>
      <c r="D17" s="444"/>
      <c r="E17" s="444"/>
      <c r="M17" s="5"/>
      <c r="N17" s="5"/>
      <c r="O17" s="5"/>
      <c r="P17" s="5"/>
    </row>
    <row r="18" spans="2:19">
      <c r="B18" s="444"/>
      <c r="C18" s="444"/>
      <c r="D18" s="444"/>
      <c r="E18" s="444"/>
      <c r="M18" s="5"/>
      <c r="N18" s="5"/>
      <c r="O18" s="5"/>
      <c r="P18" s="5"/>
    </row>
    <row r="19" spans="2:19">
      <c r="K19"/>
      <c r="M19" s="5"/>
      <c r="N19" s="5"/>
      <c r="O19" s="5"/>
      <c r="P19" s="5"/>
    </row>
    <row r="20" spans="2:19">
      <c r="M20" s="5"/>
      <c r="N20" s="5"/>
      <c r="O20" s="5"/>
      <c r="P20" s="5"/>
    </row>
    <row r="21" spans="2:19">
      <c r="B21" s="441" t="s">
        <v>269</v>
      </c>
      <c r="C21" s="441"/>
      <c r="D21" s="441"/>
      <c r="E21" s="441"/>
      <c r="F21" s="441"/>
      <c r="G21" s="441"/>
      <c r="H21" s="441"/>
      <c r="I21" s="441"/>
      <c r="J21" s="441"/>
      <c r="K21" s="441"/>
      <c r="M21" s="5"/>
      <c r="N21" s="5"/>
      <c r="O21" s="5"/>
      <c r="P21" s="5"/>
    </row>
    <row r="22" spans="2:19">
      <c r="M22" s="5"/>
      <c r="N22" s="5"/>
      <c r="O22" s="5"/>
    </row>
    <row r="23" spans="2:19">
      <c r="M23" s="5"/>
      <c r="N23" s="5"/>
      <c r="O23" s="5"/>
    </row>
    <row r="24" spans="2:19">
      <c r="M24" s="5"/>
      <c r="N24" s="5"/>
      <c r="O24" s="5"/>
    </row>
    <row r="25" spans="2:19">
      <c r="N25" s="5"/>
      <c r="O25" s="5"/>
      <c r="S25" s="6"/>
    </row>
    <row r="26" spans="2:19">
      <c r="N26" s="5"/>
      <c r="O26" s="5"/>
    </row>
    <row r="27" spans="2:19">
      <c r="N27" s="5"/>
      <c r="O27" s="5"/>
    </row>
    <row r="28" spans="2:19">
      <c r="N28" s="5"/>
      <c r="O28" s="5"/>
    </row>
    <row r="29" spans="2:19">
      <c r="N29" s="5"/>
      <c r="O29" s="5"/>
    </row>
    <row r="30" spans="2:19">
      <c r="N30" s="5"/>
      <c r="O30" s="5"/>
    </row>
  </sheetData>
  <sheetProtection algorithmName="SHA-512" hashValue="tBNtQZ6IGcn/QrNuXJal8t9r7Q/9TJue2s3rpX8jSJTd745H0VtTRCmOhEJaIYWi3gQHph4Fuzbxb9Ymj5M3xw==" saltValue="p93ZYWAh8oIsttfHM+mUUg==" spinCount="100000" sheet="1" objects="1" scenarios="1"/>
  <mergeCells count="8">
    <mergeCell ref="B21:K21"/>
    <mergeCell ref="T1:U3"/>
    <mergeCell ref="C1:D3"/>
    <mergeCell ref="H1:I3"/>
    <mergeCell ref="K1:L3"/>
    <mergeCell ref="N1:O3"/>
    <mergeCell ref="Q1:R3"/>
    <mergeCell ref="B16:E18"/>
  </mergeCells>
  <dataValidations count="2">
    <dataValidation type="decimal" operator="greaterThan" allowBlank="1" showInputMessage="1" showErrorMessage="1" errorTitle="Kaufpreis" error="Bitte gib den Kaufpreis als Zahl &gt; 0 ein." promptTitle="Kaufpreis" prompt="Bitte gib hier den Kaufpreis ein, mit dem du kalkulieren möchtest. Bspw. 55000 für 55 Tausend Euro." sqref="E8:F8" xr:uid="{00000000-0002-0000-0300-000000000000}">
      <formula1>0</formula1>
    </dataValidation>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E10:F10" xr:uid="{00000000-0002-0000-0300-000001000000}">
      <formula1>0</formula1>
    </dataValidation>
  </dataValidations>
  <hyperlinks>
    <hyperlink ref="B21" location="Deckblatt!A1" display="Keine Gewähr für die Richtigkeit der Angaben. Dieses Tool ersetzt keine fundierte Rechts-, Steuer- oder Finanzberatung. Mehr Details hier." xr:uid="{00000000-0004-0000-0300-000000000000}"/>
  </hyperlinks>
  <pageMargins left="0.25" right="0.25" top="0.75" bottom="0.75" header="0.3" footer="0.3"/>
  <pageSetup paperSize="9" scale="73" orientation="landscape" r:id="rId1"/>
  <drawing r:id="rId2"/>
  <extLst>
    <ext xmlns:x14="http://schemas.microsoft.com/office/spreadsheetml/2009/9/main" uri="{78C0D931-6437-407d-A8EE-F0AAD7539E65}">
      <x14:conditionalFormattings>
        <x14:conditionalFormatting xmlns:xm="http://schemas.microsoft.com/office/excel/2006/main">
          <x14:cfRule type="iconSet" priority="1" id="{9D207AB9-1012-4AC9-BDF7-7B60430AA8A2}">
            <x14:iconSet showValue="0">
              <x14:cfvo type="percent">
                <xm:f>0</xm:f>
              </x14:cfvo>
              <x14:cfvo type="formula">
                <xm:f>Konfiguration!$D$8</xm:f>
              </x14:cfvo>
              <x14:cfvo type="formula">
                <xm:f>Konfiguration!$C$8</xm:f>
              </x14:cfvo>
            </x14:iconSet>
          </x14:cfRule>
          <xm:sqref>G13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pageSetUpPr fitToPage="1"/>
  </sheetPr>
  <dimension ref="A1:W33"/>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65" t="s">
        <v>299</v>
      </c>
      <c r="C8" s="266"/>
      <c r="D8" s="445" t="s">
        <v>356</v>
      </c>
      <c r="E8" s="446"/>
      <c r="F8" s="278"/>
    </row>
    <row r="9" spans="1:23" ht="16">
      <c r="B9" s="268"/>
      <c r="C9" s="268"/>
      <c r="D9" s="268"/>
      <c r="E9" s="270"/>
      <c r="F9" s="270"/>
      <c r="M9" s="5"/>
      <c r="N9" s="5"/>
      <c r="O9" s="5"/>
      <c r="P9" s="5"/>
    </row>
    <row r="10" spans="1:23" s="13" customFormat="1" ht="25.5" customHeight="1">
      <c r="B10" s="265" t="s">
        <v>281</v>
      </c>
      <c r="C10" s="266"/>
      <c r="D10" s="266"/>
      <c r="E10" s="395">
        <f>IFERROR(VLOOKUP(D8,Konfiguration!B15:C31,2,FALSE),0)</f>
        <v>0</v>
      </c>
      <c r="F10" s="278"/>
    </row>
    <row r="11" spans="1:23" ht="16">
      <c r="B11" s="268"/>
      <c r="C11" s="268"/>
      <c r="D11" s="268"/>
      <c r="E11" s="270"/>
      <c r="F11" s="270"/>
      <c r="M11" s="5"/>
      <c r="N11" s="5"/>
      <c r="O11" s="5"/>
      <c r="P11" s="5"/>
    </row>
    <row r="12" spans="1:23" s="13" customFormat="1" ht="25.5" customHeight="1">
      <c r="B12" s="265" t="s">
        <v>4</v>
      </c>
      <c r="C12" s="266"/>
      <c r="D12" s="266"/>
      <c r="E12" s="313"/>
      <c r="F12" s="281"/>
    </row>
    <row r="13" spans="1:23" ht="17.25" customHeight="1">
      <c r="F13" s="270"/>
      <c r="M13" s="5"/>
      <c r="N13" s="5"/>
      <c r="O13" s="5"/>
      <c r="P13" s="5"/>
    </row>
    <row r="14" spans="1:23" s="13" customFormat="1" ht="25.5" customHeight="1">
      <c r="B14" s="265" t="s">
        <v>5</v>
      </c>
      <c r="C14" s="266"/>
      <c r="D14" s="267"/>
      <c r="E14" s="313"/>
      <c r="F14" s="281"/>
    </row>
    <row r="15" spans="1:23" ht="17.25" customHeight="1">
      <c r="B15" s="268"/>
      <c r="C15" s="268"/>
      <c r="D15" s="268"/>
      <c r="E15" s="269"/>
      <c r="F15" s="270"/>
      <c r="M15" s="5"/>
      <c r="N15" s="5"/>
      <c r="O15" s="5"/>
      <c r="P15" s="5"/>
    </row>
    <row r="16" spans="1:23" s="13" customFormat="1" ht="25.5" customHeight="1">
      <c r="B16" s="265" t="s">
        <v>249</v>
      </c>
      <c r="C16" s="266"/>
      <c r="D16" s="266"/>
      <c r="E16" s="313"/>
      <c r="F16" s="281"/>
    </row>
    <row r="17" spans="2:19" ht="17.25" customHeight="1">
      <c r="B17" s="268"/>
      <c r="C17" s="268"/>
      <c r="D17" s="268"/>
      <c r="E17" s="270"/>
      <c r="F17" s="270"/>
      <c r="M17" s="5"/>
      <c r="N17" s="5"/>
      <c r="O17" s="5"/>
      <c r="P17" s="5"/>
    </row>
    <row r="18" spans="2:19" s="13" customFormat="1" ht="25.5" customHeight="1">
      <c r="B18" s="265" t="s">
        <v>8</v>
      </c>
      <c r="C18" s="266"/>
      <c r="D18" s="266"/>
      <c r="E18" s="313"/>
      <c r="F18" s="281"/>
    </row>
    <row r="19" spans="2:19" ht="17.25" customHeight="1">
      <c r="B19" s="268"/>
      <c r="C19" s="268"/>
      <c r="D19" s="268"/>
      <c r="E19" s="270"/>
      <c r="F19" s="270"/>
      <c r="M19" s="5"/>
      <c r="N19" s="5"/>
      <c r="O19" s="5"/>
      <c r="P19" s="5"/>
    </row>
    <row r="20" spans="2:19" s="13" customFormat="1" ht="25.5" customHeight="1">
      <c r="B20" s="265" t="s">
        <v>282</v>
      </c>
      <c r="C20" s="266"/>
      <c r="D20" s="266"/>
      <c r="E20" s="396">
        <f>Cockpit!E21</f>
        <v>0</v>
      </c>
      <c r="F20" s="277"/>
      <c r="G20" s="276"/>
    </row>
    <row r="21" spans="2:19">
      <c r="M21" s="5"/>
      <c r="N21" s="5"/>
      <c r="O21" s="5"/>
      <c r="P21" s="5"/>
    </row>
    <row r="22" spans="2:19">
      <c r="M22" s="5"/>
      <c r="N22" s="5"/>
      <c r="O22" s="5"/>
      <c r="P22" s="5"/>
    </row>
    <row r="23" spans="2:19">
      <c r="M23" s="5"/>
      <c r="N23" s="5"/>
      <c r="O23" s="5"/>
      <c r="P23" s="5"/>
    </row>
    <row r="24" spans="2:19">
      <c r="B24" s="441" t="s">
        <v>269</v>
      </c>
      <c r="C24" s="441"/>
      <c r="D24" s="441"/>
      <c r="E24" s="441"/>
      <c r="F24" s="441"/>
      <c r="G24" s="441"/>
      <c r="H24" s="441"/>
      <c r="I24" s="441"/>
      <c r="J24" s="441"/>
      <c r="K24" s="441"/>
      <c r="M24" s="5"/>
      <c r="N24" s="5"/>
      <c r="O24" s="5"/>
      <c r="P24" s="5"/>
    </row>
    <row r="25" spans="2:19">
      <c r="M25" s="5"/>
      <c r="N25" s="5"/>
      <c r="O25" s="5"/>
    </row>
    <row r="26" spans="2:19">
      <c r="M26" s="5"/>
      <c r="N26" s="5"/>
      <c r="O26" s="5"/>
    </row>
    <row r="27" spans="2:19">
      <c r="M27" s="5"/>
      <c r="N27" s="5"/>
      <c r="O27" s="5"/>
    </row>
    <row r="28" spans="2:19">
      <c r="N28" s="5"/>
      <c r="O28" s="5"/>
      <c r="S28" s="6"/>
    </row>
    <row r="29" spans="2:19">
      <c r="N29" s="5"/>
      <c r="O29" s="5"/>
    </row>
    <row r="30" spans="2:19">
      <c r="N30" s="5"/>
      <c r="O30" s="5"/>
    </row>
    <row r="31" spans="2:19">
      <c r="N31" s="5"/>
      <c r="O31" s="5"/>
    </row>
    <row r="32" spans="2:19">
      <c r="N32" s="5"/>
      <c r="O32" s="5"/>
    </row>
    <row r="33" spans="14:15">
      <c r="N33" s="5"/>
      <c r="O33" s="5"/>
    </row>
  </sheetData>
  <sheetProtection algorithmName="SHA-512" hashValue="QBEybbsrvCKNg/J3d5emls+m353BQ0MeDVvNXEtOBez+sL1kXn1hIsFEulOdZTtwEv5sdxUgKuv/P0Yarat5vw==" saltValue="ZO+RZ6NbTZu7otRhDRxGWQ==" spinCount="100000" sheet="1" objects="1" scenarios="1"/>
  <mergeCells count="8">
    <mergeCell ref="N1:O3"/>
    <mergeCell ref="Q1:R3"/>
    <mergeCell ref="T1:U3"/>
    <mergeCell ref="B24:K24"/>
    <mergeCell ref="D8:E8"/>
    <mergeCell ref="C1:D3"/>
    <mergeCell ref="H1:I3"/>
    <mergeCell ref="K1:L3"/>
  </mergeCells>
  <dataValidations count="8">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0" xr:uid="{00000000-0002-0000-0400-000000000000}">
      <formula1>0</formula1>
    </dataValidation>
    <dataValidation type="decimal" operator="greaterThan" allowBlank="1" showInputMessage="1" showErrorMessage="1" errorTitle="Kaufpreis" error="Bitte gib den Kaufpreis als Zahl &gt; 0 ein." promptTitle="Kaufpreis" prompt="Bitte gib hier den Kaufpreis ein, mit dem du kalkulieren möchtest. Bspw. 55000 für 55 Tausend Euro." sqref="F8" xr:uid="{00000000-0002-0000-0400-000001000000}">
      <formula1>0</formula1>
    </dataValidation>
    <dataValidation type="decimal" allowBlank="1" showInputMessage="1" showErrorMessage="1" errorTitle="Notar-Kosten" error="Bitte gib die Notariats-Gebühren als Prozent-Zahl zwischen 0% und 100% ein." promptTitle="Notar-Gebühren" prompt="Bitte gib hier die Notariats-Gebhren in % des Kaufpreises ein. Bspw. 1,5%." sqref="E14" xr:uid="{00000000-0002-0000-0400-000002000000}">
      <formula1>0</formula1>
      <formula2>1</formula2>
    </dataValidation>
    <dataValidation type="decimal" allowBlank="1" showInputMessage="1" showErrorMessage="1" errorTitle="Grundbuch Amt - Gebühren" error="Bitte gib die Gebühren für das Grundbuch Amt als Prozent-Zahl zwischen 0% und 100% ein." promptTitle="Grundbuch Amt - Gebühren" prompt="Bitte gib hier die Gebühren für das Grundbuch Amt in % des Kaufpreises ein. Bspw. 0,5%." sqref="E16" xr:uid="{00000000-0002-0000-0400-000003000000}">
      <formula1>0</formula1>
      <formula2>1</formula2>
    </dataValidation>
    <dataValidation type="decimal" allowBlank="1" showInputMessage="1" showErrorMessage="1" errorTitle="Makler-Provision" error="Bitte gib die Makler-Provision als Prozent Zahl zwischen 0% und 100% ein." promptTitle="Makler-Provision" prompt="Bitte gib hier die Makler-Provision in % des Kaufpreises ein. Bspw. 3,57%. Wenn kein Makler involviert ist, trage einfach eine 0 ein." sqref="E12" xr:uid="{00000000-0002-0000-0400-000004000000}">
      <formula1>0</formula1>
      <formula2>1</formula2>
    </dataValidation>
    <dataValidation type="decimal" allowBlank="1" showInputMessage="1" showErrorMessage="1" errorTitle="Sonstige Kosten" error="Bitte gib die sonstigen Kaufnebenkosten als Prozent-Zahl zwischen 0% und 100% ein." promptTitle="Sonstige Kosten" prompt="Bitte gib hier sonstige Kaufnebenkosten in % des Kaufpreises ein." sqref="E18" xr:uid="{00000000-0002-0000-0400-000005000000}">
      <formula1>0</formula1>
      <formula2>1</formula2>
    </dataValidation>
    <dataValidation allowBlank="1" showInputMessage="1" errorTitle="Makler-Provision" error="Bitte gib die Makler-Provision als Prozent Zahl zwischen 0% und 100% ein." promptTitle="Grunderwerbsteuer" prompt="Diese Grunderwerbsteuer (in % des Kaufpreises) wird in dem ausgewählten Bundesland fällig." sqref="E10" xr:uid="{00000000-0002-0000-0400-000006000000}"/>
    <dataValidation type="list" allowBlank="1" showInputMessage="1" errorTitle="Makler-Provision" error="Bitte gib die Makler-Provision als Prozent Zahl zwischen 0% und 100% ein." promptTitle="Bundesland" prompt="Bitte wähle das Bundesland aus, in dem die Wohnung liegt. Das Tool ergänzt dann automatisch, wie hoch die Grunderwerbsteuer in dem Bundesland ist." sqref="D8:E8" xr:uid="{00000000-0002-0000-0400-000007000000}">
      <formula1>"bitte wählen,Baden-Württemberg,Bayern,Berlin,Brandenburg,Bremen,Hamburg,Hessen,Mecklenburg-Vorpommern,Niedersachsen,Nordrhein-Westfalen,Rheinland-Pfalz,Saarland,Sachsen,Sachsen-Anhalt,Schleswig-Holstein,Thüringen"</formula1>
    </dataValidation>
  </dataValidations>
  <hyperlinks>
    <hyperlink ref="B24" location="Deckblatt!A1" display="Keine Gewähr für die Richtigkeit der Angaben. Dieses Tool ersetzt keine fundierte Rechts-, Steuer- oder Finanzberatung. Mehr Details hier." xr:uid="{00000000-0004-0000-0400-000000000000}"/>
  </hyperlinks>
  <pageMargins left="0.25" right="0.25" top="0.75" bottom="0.75" header="0.3" footer="0.3"/>
  <pageSetup paperSize="9" scale="73"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pageSetUpPr fitToPage="1"/>
  </sheetPr>
  <dimension ref="A1:W32"/>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65" t="s">
        <v>301</v>
      </c>
      <c r="C8" s="266"/>
      <c r="D8" s="268"/>
      <c r="E8" s="317"/>
      <c r="F8" s="278"/>
    </row>
    <row r="9" spans="1:23" ht="16">
      <c r="B9" s="268"/>
      <c r="C9" s="268"/>
      <c r="D9" s="268"/>
      <c r="E9" s="270"/>
      <c r="F9" s="270"/>
      <c r="M9" s="5"/>
      <c r="N9" s="5"/>
      <c r="O9" s="5"/>
      <c r="P9" s="5"/>
    </row>
    <row r="10" spans="1:23" ht="25.5" customHeight="1">
      <c r="B10" s="265" t="s">
        <v>304</v>
      </c>
      <c r="C10" s="266"/>
      <c r="D10" s="268"/>
      <c r="E10" s="317"/>
      <c r="F10" s="270"/>
      <c r="M10" s="5"/>
      <c r="N10" s="5"/>
      <c r="O10" s="5"/>
      <c r="P10" s="5"/>
    </row>
    <row r="11" spans="1:23" ht="16">
      <c r="B11" s="268"/>
      <c r="C11" s="268"/>
      <c r="D11" s="268"/>
      <c r="E11" s="270"/>
      <c r="F11" s="270"/>
      <c r="M11" s="5"/>
      <c r="N11" s="5"/>
      <c r="O11" s="5"/>
      <c r="P11" s="5"/>
    </row>
    <row r="12" spans="1:23" s="13" customFormat="1" ht="25.5" customHeight="1">
      <c r="B12" s="288" t="s">
        <v>303</v>
      </c>
      <c r="C12" s="266"/>
      <c r="D12" s="266"/>
      <c r="E12" s="397">
        <f>Cockpit!D14+Cockpit!E21</f>
        <v>0</v>
      </c>
      <c r="F12" s="278"/>
    </row>
    <row r="13" spans="1:23" ht="16">
      <c r="B13" s="268"/>
      <c r="C13" s="268"/>
      <c r="D13" s="268"/>
      <c r="E13" s="270"/>
      <c r="F13" s="270"/>
      <c r="M13" s="5"/>
      <c r="N13" s="5"/>
      <c r="O13" s="5"/>
      <c r="P13" s="5"/>
    </row>
    <row r="14" spans="1:23" s="13" customFormat="1" ht="25.5" customHeight="1">
      <c r="B14" s="288" t="s">
        <v>305</v>
      </c>
      <c r="C14" s="266"/>
      <c r="D14" s="266"/>
      <c r="E14" s="397">
        <f>E8+E10+E12</f>
        <v>0</v>
      </c>
      <c r="F14" s="281"/>
    </row>
    <row r="15" spans="1:23" ht="36.75" customHeight="1">
      <c r="F15" s="270"/>
      <c r="M15" s="5"/>
      <c r="N15" s="5"/>
      <c r="O15" s="5"/>
      <c r="P15" s="5"/>
    </row>
    <row r="16" spans="1:23" s="13" customFormat="1" ht="25.5" customHeight="1">
      <c r="B16" s="265" t="s">
        <v>302</v>
      </c>
      <c r="C16" s="266"/>
      <c r="D16" s="267"/>
      <c r="E16" s="317"/>
      <c r="F16" s="281"/>
    </row>
    <row r="17" spans="1:23" ht="17.25" customHeight="1">
      <c r="B17" s="268"/>
      <c r="C17" s="268"/>
      <c r="D17" s="268"/>
      <c r="E17" s="269"/>
      <c r="F17" s="270"/>
      <c r="M17" s="5"/>
      <c r="N17" s="5"/>
      <c r="O17" s="5"/>
      <c r="P17" s="5"/>
    </row>
    <row r="18" spans="1:23" s="13" customFormat="1" ht="25.5" customHeight="1">
      <c r="B18" s="5"/>
      <c r="C18" s="5"/>
      <c r="D18" s="5"/>
      <c r="E18" s="5"/>
      <c r="F18" s="5"/>
    </row>
    <row r="19" spans="1:23" ht="17.25" customHeight="1">
      <c r="B19" s="268"/>
      <c r="C19" s="268"/>
      <c r="D19" s="268"/>
      <c r="E19" s="270"/>
      <c r="F19" s="270"/>
      <c r="M19" s="5"/>
      <c r="N19" s="5"/>
      <c r="O19" s="5"/>
      <c r="P19" s="5"/>
    </row>
    <row r="20" spans="1:23" s="13" customFormat="1" ht="25.5" customHeight="1">
      <c r="B20" s="5"/>
      <c r="C20" s="5"/>
      <c r="D20" s="5"/>
      <c r="E20" s="5"/>
      <c r="F20" s="5"/>
    </row>
    <row r="21" spans="1:23" ht="17.25" customHeight="1">
      <c r="B21" s="268"/>
      <c r="C21" s="268"/>
      <c r="D21" s="268"/>
      <c r="E21" s="270"/>
      <c r="F21" s="270"/>
      <c r="M21" s="5"/>
      <c r="N21" s="5"/>
      <c r="O21" s="5"/>
      <c r="P21" s="5"/>
    </row>
    <row r="22" spans="1:23">
      <c r="M22" s="5"/>
      <c r="N22" s="5"/>
      <c r="O22" s="5"/>
      <c r="P22" s="5"/>
    </row>
    <row r="23" spans="1:23">
      <c r="B23" s="441" t="s">
        <v>269</v>
      </c>
      <c r="C23" s="441"/>
      <c r="D23" s="441"/>
      <c r="E23" s="441"/>
      <c r="F23" s="441"/>
      <c r="G23" s="441"/>
      <c r="H23" s="441"/>
      <c r="I23" s="441"/>
      <c r="J23" s="441"/>
      <c r="K23" s="441"/>
      <c r="M23" s="5"/>
      <c r="N23" s="5"/>
      <c r="O23" s="5"/>
      <c r="P23" s="5"/>
    </row>
    <row r="24" spans="1:23">
      <c r="M24" s="5"/>
      <c r="N24" s="5"/>
      <c r="O24" s="5"/>
    </row>
    <row r="25" spans="1:23">
      <c r="M25" s="5"/>
      <c r="N25" s="5"/>
      <c r="O25" s="5"/>
    </row>
    <row r="26" spans="1:23">
      <c r="M26" s="5"/>
      <c r="N26" s="5"/>
      <c r="O26" s="5"/>
    </row>
    <row r="27" spans="1:23">
      <c r="N27" s="5"/>
      <c r="O27" s="5"/>
      <c r="S27" s="6"/>
    </row>
    <row r="28" spans="1:23" s="4" customFormat="1">
      <c r="A28" s="5"/>
      <c r="B28" s="5"/>
      <c r="C28" s="5"/>
      <c r="D28" s="5"/>
      <c r="E28" s="5"/>
      <c r="F28" s="5"/>
      <c r="G28" s="5"/>
      <c r="H28" s="5"/>
      <c r="I28" s="5"/>
      <c r="J28" s="5"/>
      <c r="K28" s="5"/>
      <c r="L28" s="5"/>
      <c r="N28" s="5"/>
      <c r="O28" s="5"/>
      <c r="Q28" s="5"/>
      <c r="R28" s="5"/>
      <c r="S28" s="5"/>
      <c r="T28" s="5"/>
      <c r="U28" s="5"/>
      <c r="V28" s="5"/>
      <c r="W28" s="5"/>
    </row>
    <row r="29" spans="1:23" s="4" customFormat="1">
      <c r="A29" s="5"/>
      <c r="B29" s="5"/>
      <c r="C29" s="5"/>
      <c r="D29" s="5"/>
      <c r="E29" s="5"/>
      <c r="F29" s="5"/>
      <c r="G29" s="5"/>
      <c r="H29" s="5"/>
      <c r="I29" s="5"/>
      <c r="J29" s="5"/>
      <c r="K29" s="5"/>
      <c r="L29" s="5"/>
      <c r="N29" s="5"/>
      <c r="O29" s="5"/>
      <c r="Q29" s="5"/>
      <c r="R29" s="5"/>
      <c r="S29" s="5"/>
      <c r="T29" s="5"/>
      <c r="U29" s="5"/>
      <c r="V29" s="5"/>
      <c r="W29" s="5"/>
    </row>
    <row r="30" spans="1:23" s="4" customFormat="1">
      <c r="A30" s="5"/>
      <c r="B30" s="5"/>
      <c r="C30" s="5"/>
      <c r="D30" s="5"/>
      <c r="E30" s="5"/>
      <c r="F30" s="5"/>
      <c r="G30" s="5"/>
      <c r="H30" s="5"/>
      <c r="I30" s="5"/>
      <c r="J30" s="5"/>
      <c r="K30" s="5"/>
      <c r="L30" s="5"/>
      <c r="N30" s="5"/>
      <c r="O30" s="5"/>
      <c r="Q30" s="5"/>
      <c r="R30" s="5"/>
      <c r="S30" s="5"/>
      <c r="T30" s="5"/>
      <c r="U30" s="5"/>
      <c r="V30" s="5"/>
      <c r="W30" s="5"/>
    </row>
    <row r="31" spans="1:23" s="4" customFormat="1">
      <c r="A31" s="5"/>
      <c r="B31" s="5"/>
      <c r="C31" s="5"/>
      <c r="D31" s="5"/>
      <c r="E31" s="5"/>
      <c r="F31" s="5"/>
      <c r="G31" s="5"/>
      <c r="H31" s="5"/>
      <c r="I31" s="5"/>
      <c r="J31" s="5"/>
      <c r="K31" s="5"/>
      <c r="L31" s="5"/>
      <c r="N31" s="5"/>
      <c r="O31" s="5"/>
      <c r="Q31" s="5"/>
      <c r="R31" s="5"/>
      <c r="S31" s="5"/>
      <c r="T31" s="5"/>
      <c r="U31" s="5"/>
      <c r="V31" s="5"/>
      <c r="W31" s="5"/>
    </row>
    <row r="32" spans="1:23" s="4" customFormat="1">
      <c r="A32" s="5"/>
      <c r="B32" s="5"/>
      <c r="C32" s="5"/>
      <c r="D32" s="5"/>
      <c r="E32" s="5"/>
      <c r="F32" s="5"/>
      <c r="G32" s="5"/>
      <c r="H32" s="5"/>
      <c r="I32" s="5"/>
      <c r="J32" s="5"/>
      <c r="K32" s="5"/>
      <c r="L32" s="5"/>
      <c r="N32" s="5"/>
      <c r="O32" s="5"/>
      <c r="Q32" s="5"/>
      <c r="R32" s="5"/>
      <c r="S32" s="5"/>
      <c r="T32" s="5"/>
      <c r="U32" s="5"/>
      <c r="V32" s="5"/>
      <c r="W32" s="5"/>
    </row>
  </sheetData>
  <sheetProtection algorithmName="SHA-512" hashValue="Ce91Ff1CbvcCetCl3g1BZpuxOOuCSwunQx/TRDdx+aHvauDhFz+XyQCvwTiKfz1EPhgaMaSzFZTYQLZBKOKxOQ==" saltValue="A4sD92BhIW9T1aPhoijQ4A==" spinCount="100000" sheet="1" objects="1" scenarios="1"/>
  <mergeCells count="7">
    <mergeCell ref="Q1:R3"/>
    <mergeCell ref="T1:U3"/>
    <mergeCell ref="B23:K23"/>
    <mergeCell ref="C1:D3"/>
    <mergeCell ref="H1:I3"/>
    <mergeCell ref="K1:L3"/>
    <mergeCell ref="N1:O3"/>
  </mergeCells>
  <dataValidations count="6">
    <dataValidation allowBlank="1" showInputMessage="1" errorTitle="Makler-Provision" error="Bitte gib die Makler-Provision als Prozent Zahl zwischen 0% und 100% ein." promptTitle="Grunderwerbsteuer" prompt="Diese Grunderwerbsteuer (in % des Kaufpreises) wird in dem ausgewählten Bundesland fällig." sqref="E12 E14" xr:uid="{00000000-0002-0000-0500-000000000000}"/>
    <dataValidation type="decimal" operator="greaterThan" allowBlank="1" showInputMessage="1" showErrorMessage="1" errorTitle="Kaufpreis" error="Bitte gib den Kaufpreis als Zahl &gt; 0 ein." promptTitle="Kaufpreis" prompt="Bitte gib hier den Kaufpreis ein, mit dem du kalkulieren möchtest. Bspw. 55000 für 55 Tausend Euro." sqref="F8" xr:uid="{00000000-0002-0000-0500-000001000000}">
      <formula1>0</formula1>
    </dataValidation>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2" xr:uid="{00000000-0002-0000-0500-000002000000}">
      <formula1>0</formula1>
    </dataValidation>
    <dataValidation type="decimal" operator="greaterThanOrEqual" allowBlank="1" showInputMessage="1" showErrorMessage="1" errorTitle="Maßnahmen Sofort" error="Bitte gib den Betrag für sofort nötige Maßnahmen als positiven Euro-Betrag ein." promptTitle="Maßnahmen bei Mieterwechsel" prompt="Wie viel Geld musst du für Maßnahmen einplanen, die sofort nötig sind, um die Miete weiterhin zu erhalten? Bitte gib den Betrag in Euro ein." sqref="E16" xr:uid="{00000000-0002-0000-0500-000003000000}">
      <formula1>0</formula1>
    </dataValidation>
    <dataValidation type="decimal" operator="greaterThanOrEqual" allowBlank="1" showInputMessage="1" showErrorMessage="1" errorTitle="Geplante Sonderumlagen" error="Bitte gib den Betrag für geplante Sonderumlagen als positiven Euro-Betrag ein." promptTitle="Geplante Sonderumlagen" prompt="Gib hier eine geplante Sonderumlage ein, die du im Kapitalbedarf berücksichtigen möchtest. Wenn die Umlage für mehrere Jahre beschlossen wurde, plane den Betrag für den gesamten Zeitraum ein." sqref="E10" xr:uid="{00000000-0002-0000-0500-000004000000}">
      <formula1>0</formula1>
    </dataValidation>
    <dataValidation type="decimal" operator="greaterThanOrEqual" allowBlank="1" showInputMessage="1" showErrorMessage="1" errorTitle="Maßnahmen Sofort" error="Bitte gib den Betrag für sofort nötige Maßnahmen als positiven Euro-Betrag ein." promptTitle="Maßnahmen Sofort" prompt="Wie viel Geld musst du für Maßnahmen einplanen, die sofort nötig sind, um die Miete weiterhin zu erhalten? Bitte gib den Betrag in Euro ein." sqref="E8" xr:uid="{00000000-0002-0000-0500-000005000000}">
      <formula1>0</formula1>
    </dataValidation>
  </dataValidations>
  <hyperlinks>
    <hyperlink ref="B23" location="Deckblatt!A1" display="Keine Gewähr für die Richtigkeit der Angaben. Dieses Tool ersetzt keine fundierte Rechts-, Steuer- oder Finanzberatung. Mehr Details hier." xr:uid="{00000000-0004-0000-0500-000000000000}"/>
  </hyperlinks>
  <pageMargins left="0.25" right="0.25" top="0.75" bottom="0.75" header="0.3" footer="0.3"/>
  <pageSetup paperSize="9" scale="73"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pageSetUpPr fitToPage="1"/>
  </sheetPr>
  <dimension ref="A1:W29"/>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65" t="s">
        <v>306</v>
      </c>
      <c r="C8" s="266"/>
      <c r="D8" s="268"/>
      <c r="E8" s="318"/>
      <c r="F8" s="278"/>
    </row>
    <row r="9" spans="1:23" ht="16">
      <c r="B9" s="268"/>
      <c r="C9" s="268"/>
      <c r="D9" s="268"/>
      <c r="E9" s="270"/>
      <c r="F9" s="270"/>
      <c r="M9" s="5"/>
      <c r="N9" s="5"/>
      <c r="O9" s="5"/>
      <c r="P9" s="5"/>
    </row>
    <row r="10" spans="1:23" ht="25.5" customHeight="1">
      <c r="B10" s="265" t="s">
        <v>23</v>
      </c>
      <c r="C10" s="266"/>
      <c r="D10" s="268"/>
      <c r="E10" s="397">
        <f>Cockpit!N17</f>
        <v>0</v>
      </c>
      <c r="F10" s="270"/>
      <c r="M10" s="5"/>
      <c r="N10" s="5"/>
      <c r="O10" s="5"/>
      <c r="P10" s="5"/>
    </row>
    <row r="11" spans="1:23" ht="84" customHeight="1">
      <c r="B11" s="268"/>
      <c r="C11" s="268"/>
      <c r="D11" s="268"/>
      <c r="E11" s="270"/>
      <c r="F11" s="270"/>
      <c r="M11" s="5"/>
      <c r="N11" s="5"/>
      <c r="O11" s="5"/>
      <c r="P11" s="5"/>
    </row>
    <row r="12" spans="1:23" s="13" customFormat="1" ht="25.5" customHeight="1">
      <c r="B12" s="288" t="s">
        <v>307</v>
      </c>
      <c r="C12" s="266"/>
      <c r="D12" s="266"/>
      <c r="E12" s="313"/>
      <c r="F12" s="278"/>
    </row>
    <row r="13" spans="1:23" ht="16">
      <c r="B13" s="268"/>
      <c r="C13" s="268"/>
      <c r="D13" s="268"/>
      <c r="E13" s="270"/>
      <c r="F13" s="270"/>
      <c r="M13" s="5"/>
      <c r="N13" s="5"/>
      <c r="O13" s="5"/>
      <c r="P13" s="5"/>
    </row>
    <row r="14" spans="1:23" s="13" customFormat="1" ht="25.5" customHeight="1">
      <c r="B14" s="288" t="s">
        <v>25</v>
      </c>
      <c r="C14" s="266"/>
      <c r="D14" s="266"/>
      <c r="E14" s="313"/>
      <c r="F14" s="281"/>
    </row>
    <row r="15" spans="1:23" ht="36.75" customHeight="1">
      <c r="E15" s="268"/>
      <c r="F15" s="270"/>
      <c r="M15" s="5"/>
      <c r="N15" s="5"/>
      <c r="O15" s="5"/>
      <c r="P15" s="5"/>
    </row>
    <row r="16" spans="1:23" s="13" customFormat="1" ht="25.5" customHeight="1">
      <c r="B16" s="5"/>
      <c r="C16" s="268"/>
      <c r="D16" s="268"/>
      <c r="E16" s="268"/>
      <c r="F16" s="270"/>
    </row>
    <row r="17" spans="1:23" ht="17.25" customHeight="1">
      <c r="B17" s="268"/>
      <c r="C17" s="268"/>
      <c r="D17" s="268"/>
      <c r="E17" s="270"/>
      <c r="F17" s="270"/>
      <c r="M17" s="5"/>
      <c r="N17" s="5"/>
      <c r="O17" s="5"/>
      <c r="P17" s="5"/>
    </row>
    <row r="18" spans="1:23" s="13" customFormat="1" ht="25.5" customHeight="1">
      <c r="B18" s="5"/>
      <c r="C18" s="5"/>
      <c r="D18" s="5"/>
      <c r="E18" s="5"/>
      <c r="F18" s="5"/>
    </row>
    <row r="19" spans="1:23">
      <c r="M19" s="5"/>
      <c r="N19" s="5"/>
      <c r="O19" s="5"/>
      <c r="P19" s="5"/>
    </row>
    <row r="20" spans="1:23">
      <c r="B20" s="441" t="s">
        <v>269</v>
      </c>
      <c r="C20" s="441"/>
      <c r="D20" s="441"/>
      <c r="E20" s="441"/>
      <c r="F20" s="441"/>
      <c r="G20" s="441"/>
      <c r="H20" s="441"/>
      <c r="I20" s="441"/>
      <c r="J20" s="441"/>
      <c r="K20" s="441"/>
      <c r="M20" s="5"/>
      <c r="N20" s="5"/>
      <c r="O20" s="5"/>
      <c r="P20" s="5"/>
    </row>
    <row r="21" spans="1:23">
      <c r="M21" s="5"/>
      <c r="N21" s="5"/>
      <c r="O21" s="5"/>
    </row>
    <row r="22" spans="1:23">
      <c r="M22" s="5"/>
      <c r="N22" s="5"/>
      <c r="O22" s="5"/>
    </row>
    <row r="23" spans="1:23">
      <c r="M23" s="5"/>
      <c r="N23" s="5"/>
      <c r="O23" s="5"/>
    </row>
    <row r="24" spans="1:23">
      <c r="N24" s="5"/>
      <c r="O24" s="5"/>
      <c r="S24" s="6"/>
    </row>
    <row r="25" spans="1:23" s="4" customFormat="1">
      <c r="A25" s="5"/>
      <c r="B25" s="5"/>
      <c r="C25" s="5"/>
      <c r="D25" s="5"/>
      <c r="E25" s="5"/>
      <c r="F25" s="5"/>
      <c r="G25" s="5"/>
      <c r="H25" s="5"/>
      <c r="I25" s="5"/>
      <c r="J25" s="5"/>
      <c r="K25" s="5"/>
      <c r="L25" s="5"/>
      <c r="N25" s="5"/>
      <c r="O25" s="5"/>
      <c r="Q25" s="5"/>
      <c r="R25" s="5"/>
      <c r="S25" s="5"/>
      <c r="T25" s="5"/>
      <c r="U25" s="5"/>
      <c r="V25" s="5"/>
      <c r="W25" s="5"/>
    </row>
    <row r="26" spans="1:23" s="4" customFormat="1">
      <c r="A26" s="5"/>
      <c r="B26" s="5"/>
      <c r="C26" s="5"/>
      <c r="D26" s="5"/>
      <c r="E26" s="5"/>
      <c r="F26" s="5"/>
      <c r="G26" s="5"/>
      <c r="H26" s="5"/>
      <c r="I26" s="5"/>
      <c r="J26" s="5"/>
      <c r="K26" s="5"/>
      <c r="L26" s="5"/>
      <c r="N26" s="5"/>
      <c r="O26" s="5"/>
      <c r="Q26" s="5"/>
      <c r="R26" s="5"/>
      <c r="S26" s="5"/>
      <c r="T26" s="5"/>
      <c r="U26" s="5"/>
      <c r="V26" s="5"/>
      <c r="W26" s="5"/>
    </row>
    <row r="27" spans="1:23" s="4" customFormat="1">
      <c r="A27" s="5"/>
      <c r="B27" s="5"/>
      <c r="C27" s="5"/>
      <c r="D27" s="5"/>
      <c r="E27" s="5"/>
      <c r="F27" s="5"/>
      <c r="G27" s="5"/>
      <c r="H27" s="5"/>
      <c r="I27" s="5"/>
      <c r="J27" s="5"/>
      <c r="K27" s="5"/>
      <c r="L27" s="5"/>
      <c r="N27" s="5"/>
      <c r="O27" s="5"/>
      <c r="Q27" s="5"/>
      <c r="R27" s="5"/>
      <c r="S27" s="5"/>
      <c r="T27" s="5"/>
      <c r="U27" s="5"/>
      <c r="V27" s="5"/>
      <c r="W27" s="5"/>
    </row>
    <row r="28" spans="1:23" s="4" customFormat="1">
      <c r="A28" s="5"/>
      <c r="B28" s="5"/>
      <c r="C28" s="5"/>
      <c r="D28" s="5"/>
      <c r="E28" s="5"/>
      <c r="F28" s="5"/>
      <c r="G28" s="5"/>
      <c r="H28" s="5"/>
      <c r="I28" s="5"/>
      <c r="J28" s="5"/>
      <c r="K28" s="5"/>
      <c r="L28" s="5"/>
      <c r="N28" s="5"/>
      <c r="O28" s="5"/>
      <c r="Q28" s="5"/>
      <c r="R28" s="5"/>
      <c r="S28" s="5"/>
      <c r="T28" s="5"/>
      <c r="U28" s="5"/>
      <c r="V28" s="5"/>
      <c r="W28" s="5"/>
    </row>
    <row r="29" spans="1:23" s="4" customFormat="1">
      <c r="A29" s="5"/>
      <c r="B29" s="5"/>
      <c r="C29" s="5"/>
      <c r="D29" s="5"/>
      <c r="E29" s="5"/>
      <c r="F29" s="5"/>
      <c r="G29" s="5"/>
      <c r="H29" s="5"/>
      <c r="I29" s="5"/>
      <c r="J29" s="5"/>
      <c r="K29" s="5"/>
      <c r="L29" s="5"/>
      <c r="N29" s="5"/>
      <c r="O29" s="5"/>
      <c r="Q29" s="5"/>
      <c r="R29" s="5"/>
      <c r="S29" s="5"/>
      <c r="T29" s="5"/>
      <c r="U29" s="5"/>
      <c r="V29" s="5"/>
      <c r="W29" s="5"/>
    </row>
  </sheetData>
  <sheetProtection algorithmName="SHA-512" hashValue="wQOl/l94Eio+6N1abEwtbl7I3qa6pDX+CLCVLK3pr1hRPPMp25Vlls3BxCzNqOQZM3V3OOb1L849IIOQi/KXrQ==" saltValue="5cqdZ7aiIMBBaZIGvK/Fzw==" spinCount="100000" sheet="1" objects="1" scenarios="1"/>
  <mergeCells count="7">
    <mergeCell ref="Q1:R3"/>
    <mergeCell ref="T1:U3"/>
    <mergeCell ref="B20:K20"/>
    <mergeCell ref="C1:D3"/>
    <mergeCell ref="H1:I3"/>
    <mergeCell ref="K1:L3"/>
    <mergeCell ref="N1:O3"/>
  </mergeCells>
  <dataValidations count="6">
    <dataValidation type="decimal" allowBlank="1" showInputMessage="1" showErrorMessage="1" errorTitle="Darlehenssumme vom Kaufpreis" error="Bitte gib die Darlehenssumme in % des Kaufpreises ein, bspw. 80%. Der Wert darf nicht negativ sein und ist auf 1000% beschränkt. Bitte gib das Darlehen nicht als Euro-Betrag ein." promptTitle="Darlehenssumme vom Kaufpreis" prompt="Wie viel % du den Kaufpreis möchtest du finanzieren? Du kannst auch einen Wert über 100% eingeben._x000a__x000a_Format: Darlehenssumme in % des Kaufpreises, bspw. 80%." sqref="E8" xr:uid="{00000000-0002-0000-0600-000000000000}">
      <formula1>0</formula1>
      <formula2>10</formula2>
    </dataValidation>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2" xr:uid="{00000000-0002-0000-0600-000001000000}">
      <formula1>0</formula1>
    </dataValidation>
    <dataValidation type="decimal" operator="greaterThan" allowBlank="1" showInputMessage="1" showErrorMessage="1" errorTitle="Kaufpreis" error="Bitte gib den Kaufpreis als Zahl &gt; 0 ein." promptTitle="Kaufpreis" prompt="Bitte gib hier den Kaufpreis ein, mit dem du kalkulieren möchtest. Bspw. 55000 für 55 Tausend Euro." sqref="F8" xr:uid="{00000000-0002-0000-0600-000002000000}">
      <formula1>0</formula1>
    </dataValidation>
    <dataValidation type="decimal" operator="greaterThanOrEqual" allowBlank="1" showInputMessage="1" showErrorMessage="1" errorTitle="Anfängliche Tilgung" error="Bitte gib die anfängliche Tilgung als positive Prozent-Zahl ein." promptTitle="Anfängliche Tilgung" prompt="Gib hier die anfängliche Tilgung ein, mit der du das Darlehen zurückzahlen willst. Bspw. 2%." sqref="E14" xr:uid="{00000000-0002-0000-0600-000003000000}">
      <formula1>0</formula1>
    </dataValidation>
    <dataValidation allowBlank="1" showInputMessage="1" promptTitle="Darlehenshöhe" prompt="Diese Darlehenssumme ergibt sich aus dem Prozentsatz, den du oben festgelegt hast." sqref="E10" xr:uid="{00000000-0002-0000-0600-000004000000}"/>
    <dataValidation type="decimal" operator="greaterThanOrEqual" allowBlank="1" showInputMessage="1" showErrorMessage="1" errorTitle="Zinsen pro Jahr" error="Bitte gib den Zinssatz in Prozent als positive Zahl ein. Bspw. 2%." promptTitle="Zinsen pro Jahr" prompt="Gib hier den Zinssatz ein, mit dem du das Darlehen berechnen möchtest. Bspw. 2%." sqref="E12" xr:uid="{00000000-0002-0000-0600-000005000000}">
      <formula1>0</formula1>
    </dataValidation>
  </dataValidations>
  <hyperlinks>
    <hyperlink ref="B20" location="Deckblatt!A1" display="Keine Gewähr für die Richtigkeit der Angaben. Dieses Tool ersetzt keine fundierte Rechts-, Steuer- oder Finanzberatung. Mehr Details hier." xr:uid="{00000000-0004-0000-0600-000000000000}"/>
  </hyperlinks>
  <pageMargins left="0.25" right="0.25" top="0.75" bottom="0.75" header="0.3" footer="0.3"/>
  <pageSetup paperSize="9" scale="73" orientation="landscape"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pageSetUpPr fitToPage="1"/>
  </sheetPr>
  <dimension ref="A1:W27"/>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65" t="s">
        <v>308</v>
      </c>
      <c r="C8" s="266"/>
      <c r="D8" s="268"/>
      <c r="E8" s="397">
        <f>Cockpit!N13</f>
        <v>0</v>
      </c>
      <c r="F8" s="278"/>
    </row>
    <row r="9" spans="1:23" ht="49.5" customHeight="1">
      <c r="B9" s="268"/>
      <c r="C9" s="268"/>
      <c r="D9" s="268"/>
      <c r="E9" s="270"/>
      <c r="F9" s="270"/>
      <c r="M9" s="5"/>
      <c r="N9" s="5"/>
      <c r="O9" s="5"/>
      <c r="P9" s="5"/>
    </row>
    <row r="10" spans="1:23" ht="25.5" customHeight="1">
      <c r="B10" s="265" t="s">
        <v>309</v>
      </c>
      <c r="C10" s="266"/>
      <c r="D10" s="268"/>
      <c r="E10" s="398" t="str">
        <f ca="1">calc_rf!C7</f>
        <v>sofort</v>
      </c>
      <c r="F10" s="270"/>
      <c r="M10" s="5"/>
      <c r="N10" s="5"/>
      <c r="O10" s="5"/>
      <c r="P10" s="5"/>
    </row>
    <row r="11" spans="1:23" ht="67.5" customHeight="1">
      <c r="B11" s="268"/>
      <c r="C11" s="268"/>
      <c r="D11" s="268"/>
      <c r="E11" s="270"/>
      <c r="F11" s="270"/>
      <c r="M11" s="5"/>
      <c r="N11" s="5"/>
      <c r="O11" s="5"/>
      <c r="P11" s="5"/>
    </row>
    <row r="12" spans="1:23" s="13" customFormat="1" ht="25.5" customHeight="1">
      <c r="B12" s="288" t="s">
        <v>310</v>
      </c>
      <c r="C12" s="266"/>
      <c r="D12" s="266"/>
      <c r="E12" s="397">
        <f>calc_rf!C8</f>
        <v>0</v>
      </c>
      <c r="F12" s="278"/>
    </row>
    <row r="13" spans="1:23" ht="16">
      <c r="B13" s="268"/>
      <c r="C13" s="268"/>
      <c r="D13" s="268"/>
      <c r="E13" s="270"/>
      <c r="F13" s="270"/>
      <c r="M13" s="5"/>
      <c r="N13" s="5"/>
      <c r="O13" s="5"/>
      <c r="P13" s="5"/>
    </row>
    <row r="14" spans="1:23" ht="36.75" customHeight="1">
      <c r="E14" s="268"/>
      <c r="F14" s="270"/>
      <c r="M14" s="5"/>
      <c r="N14" s="5"/>
      <c r="O14" s="5"/>
      <c r="P14" s="5"/>
    </row>
    <row r="15" spans="1:23" s="13" customFormat="1" ht="25.5" customHeight="1">
      <c r="B15" s="5"/>
      <c r="C15" s="268"/>
      <c r="D15" s="268"/>
      <c r="E15" s="268"/>
      <c r="F15" s="270"/>
    </row>
    <row r="16" spans="1:23">
      <c r="M16" s="5"/>
      <c r="N16" s="5"/>
      <c r="O16" s="5"/>
      <c r="P16" s="5"/>
    </row>
    <row r="17" spans="1:23">
      <c r="M17" s="5"/>
      <c r="N17" s="5"/>
      <c r="O17" s="5"/>
      <c r="P17" s="5"/>
    </row>
    <row r="18" spans="1:23">
      <c r="B18" s="441" t="s">
        <v>269</v>
      </c>
      <c r="C18" s="441"/>
      <c r="D18" s="441"/>
      <c r="E18" s="441"/>
      <c r="F18" s="441"/>
      <c r="G18" s="441"/>
      <c r="H18" s="441"/>
      <c r="I18" s="441"/>
      <c r="J18" s="441"/>
      <c r="K18" s="441"/>
      <c r="M18" s="5"/>
      <c r="N18" s="5"/>
      <c r="O18" s="5"/>
      <c r="P18" s="5"/>
    </row>
    <row r="19" spans="1:23">
      <c r="M19" s="5"/>
      <c r="N19" s="5"/>
      <c r="O19" s="5"/>
    </row>
    <row r="20" spans="1:23">
      <c r="M20" s="5"/>
      <c r="N20" s="5"/>
      <c r="O20" s="5"/>
    </row>
    <row r="21" spans="1:23">
      <c r="M21" s="5"/>
      <c r="N21" s="5"/>
      <c r="O21" s="5"/>
    </row>
    <row r="22" spans="1:23">
      <c r="N22" s="5"/>
      <c r="O22" s="5"/>
      <c r="S22" s="6"/>
    </row>
    <row r="23" spans="1:23" s="4" customFormat="1">
      <c r="A23" s="5"/>
      <c r="B23" s="5"/>
      <c r="C23" s="5"/>
      <c r="D23" s="5"/>
      <c r="E23" s="5"/>
      <c r="F23" s="5"/>
      <c r="G23" s="5"/>
      <c r="H23" s="5"/>
      <c r="I23" s="5"/>
      <c r="J23" s="5"/>
      <c r="K23" s="5"/>
      <c r="L23" s="5"/>
      <c r="N23" s="5"/>
      <c r="O23" s="5"/>
      <c r="Q23" s="5"/>
      <c r="R23" s="5"/>
      <c r="S23" s="5"/>
      <c r="T23" s="5"/>
      <c r="U23" s="5"/>
      <c r="V23" s="5"/>
      <c r="W23" s="5"/>
    </row>
    <row r="24" spans="1:23" s="4" customFormat="1">
      <c r="A24" s="5"/>
      <c r="B24" s="5"/>
      <c r="C24" s="5"/>
      <c r="D24" s="5"/>
      <c r="E24" s="5"/>
      <c r="F24" s="5"/>
      <c r="G24" s="5"/>
      <c r="H24" s="5"/>
      <c r="I24" s="5"/>
      <c r="J24" s="5"/>
      <c r="K24" s="5"/>
      <c r="L24" s="5"/>
      <c r="N24" s="5"/>
      <c r="O24" s="5"/>
      <c r="Q24" s="5"/>
      <c r="R24" s="5"/>
      <c r="S24" s="5"/>
      <c r="T24" s="5"/>
      <c r="U24" s="5"/>
      <c r="V24" s="5"/>
      <c r="W24" s="5"/>
    </row>
    <row r="25" spans="1:23" s="4" customFormat="1">
      <c r="A25" s="5"/>
      <c r="B25" s="5"/>
      <c r="C25" s="5"/>
      <c r="D25" s="5"/>
      <c r="E25" s="5"/>
      <c r="F25" s="5"/>
      <c r="G25" s="5"/>
      <c r="H25" s="5"/>
      <c r="I25" s="5"/>
      <c r="J25" s="5"/>
      <c r="K25" s="5"/>
      <c r="L25" s="5"/>
      <c r="N25" s="5"/>
      <c r="O25" s="5"/>
      <c r="Q25" s="5"/>
      <c r="R25" s="5"/>
      <c r="S25" s="5"/>
      <c r="T25" s="5"/>
      <c r="U25" s="5"/>
      <c r="V25" s="5"/>
      <c r="W25" s="5"/>
    </row>
    <row r="26" spans="1:23" s="4" customFormat="1">
      <c r="A26" s="5"/>
      <c r="B26" s="5"/>
      <c r="C26" s="5"/>
      <c r="D26" s="5"/>
      <c r="E26" s="5"/>
      <c r="F26" s="5"/>
      <c r="G26" s="5"/>
      <c r="H26" s="5"/>
      <c r="I26" s="5"/>
      <c r="J26" s="5"/>
      <c r="K26" s="5"/>
      <c r="L26" s="5"/>
      <c r="N26" s="5"/>
      <c r="O26" s="5"/>
      <c r="Q26" s="5"/>
      <c r="R26" s="5"/>
      <c r="S26" s="5"/>
      <c r="T26" s="5"/>
      <c r="U26" s="5"/>
      <c r="V26" s="5"/>
      <c r="W26" s="5"/>
    </row>
    <row r="27" spans="1:23" s="4" customFormat="1">
      <c r="A27" s="5"/>
      <c r="B27" s="5"/>
      <c r="C27" s="5"/>
      <c r="D27" s="5"/>
      <c r="E27" s="5"/>
      <c r="F27" s="5"/>
      <c r="G27" s="5"/>
      <c r="H27" s="5"/>
      <c r="I27" s="5"/>
      <c r="J27" s="5"/>
      <c r="K27" s="5"/>
      <c r="L27" s="5"/>
      <c r="N27" s="5"/>
      <c r="O27" s="5"/>
      <c r="Q27" s="5"/>
      <c r="R27" s="5"/>
      <c r="S27" s="5"/>
      <c r="T27" s="5"/>
      <c r="U27" s="5"/>
      <c r="V27" s="5"/>
      <c r="W27" s="5"/>
    </row>
  </sheetData>
  <sheetProtection algorithmName="SHA-512" hashValue="2VBcbqzYn8M4oD79BltLTRFebBNcciZpIKh8/mb1z+ThgYqwwpXZr/4aqnNXeUA+r6OdQr60b4LumKlL+BzLIg==" saltValue="gLKZpu79B/xOCMN35rLNRg==" spinCount="100000" sheet="1" objects="1" scenarios="1"/>
  <mergeCells count="7">
    <mergeCell ref="Q1:R3"/>
    <mergeCell ref="T1:U3"/>
    <mergeCell ref="B18:K18"/>
    <mergeCell ref="C1:D3"/>
    <mergeCell ref="H1:I3"/>
    <mergeCell ref="K1:L3"/>
    <mergeCell ref="N1:O3"/>
  </mergeCells>
  <dataValidations count="5">
    <dataValidation allowBlank="1" showInputMessage="1" promptTitle="Schuldenfrei" prompt="In so vielen Jahren bist du schuldenfrei. Das heißt, in dem entsprechenden Jahr zahlst du deinen letzten Euro Kredit zurück." sqref="E10" xr:uid="{00000000-0002-0000-0700-000000000000}"/>
    <dataValidation type="decimal" operator="greaterThan" allowBlank="1" showInputMessage="1" showErrorMessage="1" errorTitle="Kaufpreis" error="Bitte gib den Kaufpreis als Zahl &gt; 0 ein." promptTitle="Kaufpreis" prompt="Bitte gib hier den Kaufpreis ein, mit dem du kalkulieren möchtest. Bspw. 55000 für 55 Tausend Euro." sqref="F8" xr:uid="{00000000-0002-0000-0700-000001000000}">
      <formula1>0</formula1>
    </dataValidation>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2" xr:uid="{00000000-0002-0000-0700-000002000000}">
      <formula1>0</formula1>
    </dataValidation>
    <dataValidation allowBlank="1" showInputMessage="1" promptTitle="Rate an die Bank" prompt="Diese monatliche Rate an die Bank ergibt sich aus der Darlehenshöhe, dem Zinssatz und der anfänglichen Tilgung. Sie bleibt bis zur Anschlussfinanzierung gleich hoch." sqref="E8" xr:uid="{00000000-0002-0000-0700-000003000000}"/>
    <dataValidation allowBlank="1" showInputMessage="1" promptTitle="Eigenkapitalbedarf" prompt="So viel Eigenkapital brauchst du, um nach Abzug deiner Darlehenssumme alle übrigen Kosten zu decken. Du solltest danach noch einen ausreichenden Puffer haben." sqref="E12" xr:uid="{00000000-0002-0000-0700-000004000000}"/>
  </dataValidations>
  <hyperlinks>
    <hyperlink ref="B18" location="Deckblatt!A1" display="Keine Gewähr für die Richtigkeit der Angaben. Dieses Tool ersetzt keine fundierte Rechts-, Steuer- oder Finanzberatung. Mehr Details hier." xr:uid="{00000000-0004-0000-0700-000000000000}"/>
  </hyperlinks>
  <pageMargins left="0.25" right="0.25" top="0.75" bottom="0.75" header="0.3" footer="0.3"/>
  <pageSetup paperSize="9" scale="73" orientation="landscape"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pageSetUpPr fitToPage="1"/>
  </sheetPr>
  <dimension ref="A1:W29"/>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65" t="s">
        <v>311</v>
      </c>
      <c r="C8" s="266"/>
      <c r="D8" s="268"/>
      <c r="E8" s="317"/>
      <c r="F8" s="278"/>
    </row>
    <row r="9" spans="1:23" ht="52.5" customHeight="1">
      <c r="B9" s="268"/>
      <c r="C9" s="268"/>
      <c r="D9" s="268"/>
      <c r="E9" s="270"/>
      <c r="F9" s="270"/>
      <c r="M9" s="5"/>
      <c r="N9" s="5"/>
      <c r="O9" s="5"/>
      <c r="P9" s="5"/>
    </row>
    <row r="10" spans="1:23" ht="15" customHeight="1">
      <c r="B10" s="268"/>
      <c r="C10" s="268"/>
      <c r="D10" s="268"/>
      <c r="E10" s="270"/>
      <c r="F10" s="270"/>
      <c r="M10" s="5"/>
      <c r="N10" s="5"/>
      <c r="O10" s="5"/>
      <c r="P10" s="5"/>
    </row>
    <row r="11" spans="1:23" s="13" customFormat="1" ht="25.5" customHeight="1">
      <c r="B11" s="288" t="s">
        <v>312</v>
      </c>
      <c r="C11" s="266"/>
      <c r="D11" s="266"/>
      <c r="E11" s="318"/>
      <c r="F11" s="278"/>
    </row>
    <row r="12" spans="1:23" ht="52.5" customHeight="1">
      <c r="B12" s="268"/>
      <c r="C12" s="268"/>
      <c r="D12" s="268"/>
      <c r="E12" s="270"/>
      <c r="F12" s="270"/>
      <c r="M12" s="5"/>
      <c r="N12" s="5"/>
      <c r="O12" s="5"/>
      <c r="P12" s="5"/>
    </row>
    <row r="13" spans="1:23" s="13" customFormat="1" ht="25.5" customHeight="1">
      <c r="B13" s="288" t="s">
        <v>313</v>
      </c>
      <c r="C13" s="266"/>
      <c r="D13" s="266"/>
      <c r="E13" s="319"/>
      <c r="F13" s="278"/>
    </row>
    <row r="14" spans="1:23" ht="16">
      <c r="B14" s="268"/>
      <c r="C14" s="268"/>
      <c r="D14" s="268"/>
      <c r="E14" s="270"/>
      <c r="F14" s="270"/>
      <c r="M14" s="5"/>
      <c r="N14" s="5"/>
      <c r="O14" s="5"/>
      <c r="P14" s="5"/>
    </row>
    <row r="15" spans="1:23" ht="36.75" customHeight="1">
      <c r="E15" s="268"/>
      <c r="F15" s="270"/>
      <c r="M15" s="5"/>
      <c r="N15" s="5"/>
      <c r="O15" s="5"/>
      <c r="P15" s="5"/>
    </row>
    <row r="16" spans="1:23" s="13" customFormat="1" ht="25.5" customHeight="1">
      <c r="B16" s="5"/>
      <c r="C16" s="268"/>
      <c r="D16" s="268"/>
      <c r="E16" s="268"/>
      <c r="F16" s="270"/>
    </row>
    <row r="17" spans="1:23" ht="17.25" customHeight="1">
      <c r="B17" s="268"/>
      <c r="C17" s="268"/>
      <c r="D17" s="268"/>
      <c r="E17" s="270"/>
      <c r="F17" s="270"/>
      <c r="M17" s="5"/>
      <c r="N17" s="5"/>
      <c r="O17" s="5"/>
      <c r="P17" s="5"/>
    </row>
    <row r="18" spans="1:23" s="13" customFormat="1" ht="25.5" customHeight="1">
      <c r="B18" s="5"/>
      <c r="C18" s="5"/>
      <c r="D18" s="5"/>
      <c r="E18" s="5"/>
      <c r="F18" s="5"/>
    </row>
    <row r="19" spans="1:23" ht="17.25" customHeight="1">
      <c r="B19" s="268"/>
      <c r="C19" s="268"/>
      <c r="D19" s="268"/>
      <c r="E19" s="270"/>
      <c r="F19" s="270"/>
      <c r="M19" s="5"/>
      <c r="N19" s="5"/>
      <c r="O19" s="5"/>
      <c r="P19" s="5"/>
    </row>
    <row r="20" spans="1:23">
      <c r="B20" s="441" t="s">
        <v>269</v>
      </c>
      <c r="C20" s="441"/>
      <c r="D20" s="441"/>
      <c r="E20" s="441"/>
      <c r="F20" s="441"/>
      <c r="G20" s="441"/>
      <c r="H20" s="441"/>
      <c r="I20" s="441"/>
      <c r="J20" s="441"/>
      <c r="K20" s="441"/>
      <c r="M20" s="5"/>
      <c r="N20" s="5"/>
      <c r="O20" s="5"/>
      <c r="P20" s="5"/>
    </row>
    <row r="21" spans="1:23">
      <c r="M21" s="5"/>
      <c r="N21" s="5"/>
      <c r="O21" s="5"/>
    </row>
    <row r="22" spans="1:23">
      <c r="M22" s="5"/>
      <c r="N22" s="5"/>
      <c r="O22" s="5"/>
    </row>
    <row r="23" spans="1:23">
      <c r="M23" s="5"/>
      <c r="N23" s="5"/>
      <c r="O23" s="5"/>
    </row>
    <row r="24" spans="1:23">
      <c r="N24" s="5"/>
      <c r="O24" s="5"/>
      <c r="S24" s="6"/>
    </row>
    <row r="25" spans="1:23" s="4" customFormat="1">
      <c r="A25" s="5"/>
      <c r="B25" s="5"/>
      <c r="C25" s="5"/>
      <c r="D25" s="5"/>
      <c r="E25" s="5"/>
      <c r="F25" s="5"/>
      <c r="G25" s="5"/>
      <c r="H25" s="5"/>
      <c r="I25" s="5"/>
      <c r="J25" s="5"/>
      <c r="K25" s="5"/>
      <c r="L25" s="5"/>
      <c r="N25" s="5"/>
      <c r="O25" s="5"/>
      <c r="Q25" s="5"/>
      <c r="R25" s="5"/>
      <c r="S25" s="5"/>
      <c r="T25" s="5"/>
      <c r="U25" s="5"/>
      <c r="V25" s="5"/>
      <c r="W25" s="5"/>
    </row>
    <row r="26" spans="1:23" s="4" customFormat="1">
      <c r="A26" s="5"/>
      <c r="B26" s="5"/>
      <c r="C26" s="5"/>
      <c r="D26" s="5"/>
      <c r="E26" s="5"/>
      <c r="F26" s="5"/>
      <c r="G26" s="5"/>
      <c r="H26" s="5"/>
      <c r="I26" s="5"/>
      <c r="J26" s="5"/>
      <c r="K26" s="5"/>
      <c r="L26" s="5"/>
      <c r="N26" s="5"/>
      <c r="O26" s="5"/>
      <c r="Q26" s="5"/>
      <c r="R26" s="5"/>
      <c r="S26" s="5"/>
      <c r="T26" s="5"/>
      <c r="U26" s="5"/>
      <c r="V26" s="5"/>
      <c r="W26" s="5"/>
    </row>
    <row r="27" spans="1:23" s="4" customFormat="1">
      <c r="A27" s="5"/>
      <c r="B27" s="5"/>
      <c r="C27" s="5"/>
      <c r="D27" s="5"/>
      <c r="E27" s="5"/>
      <c r="F27" s="5"/>
      <c r="G27" s="5"/>
      <c r="H27" s="5"/>
      <c r="I27" s="5"/>
      <c r="J27" s="5"/>
      <c r="K27" s="5"/>
      <c r="L27" s="5"/>
      <c r="N27" s="5"/>
      <c r="O27" s="5"/>
      <c r="Q27" s="5"/>
      <c r="R27" s="5"/>
      <c r="S27" s="5"/>
      <c r="T27" s="5"/>
      <c r="U27" s="5"/>
      <c r="V27" s="5"/>
      <c r="W27" s="5"/>
    </row>
    <row r="28" spans="1:23" s="4" customFormat="1">
      <c r="A28" s="5"/>
      <c r="B28" s="5"/>
      <c r="C28" s="5"/>
      <c r="D28" s="5"/>
      <c r="E28" s="5"/>
      <c r="F28" s="5"/>
      <c r="G28" s="5"/>
      <c r="H28" s="5"/>
      <c r="I28" s="5"/>
      <c r="J28" s="5"/>
      <c r="K28" s="5"/>
      <c r="L28" s="5"/>
      <c r="N28" s="5"/>
      <c r="O28" s="5"/>
      <c r="Q28" s="5"/>
      <c r="R28" s="5"/>
      <c r="S28" s="5"/>
      <c r="T28" s="5"/>
      <c r="U28" s="5"/>
      <c r="V28" s="5"/>
      <c r="W28" s="5"/>
    </row>
    <row r="29" spans="1:23" s="4" customFormat="1">
      <c r="A29" s="5"/>
      <c r="B29" s="5"/>
      <c r="C29" s="5"/>
      <c r="D29" s="5"/>
      <c r="E29" s="5"/>
      <c r="F29" s="5"/>
      <c r="G29" s="5"/>
      <c r="H29" s="5"/>
      <c r="I29" s="5"/>
      <c r="J29" s="5"/>
      <c r="K29" s="5"/>
      <c r="L29" s="5"/>
      <c r="N29" s="5"/>
      <c r="O29" s="5"/>
      <c r="Q29" s="5"/>
      <c r="R29" s="5"/>
      <c r="S29" s="5"/>
      <c r="T29" s="5"/>
      <c r="U29" s="5"/>
      <c r="V29" s="5"/>
      <c r="W29" s="5"/>
    </row>
  </sheetData>
  <sheetProtection algorithmName="SHA-512" hashValue="j5eqUj5Lq44xjWRqP+tsAeLo8BGJ6W05wrw2fNNAc0GRiQaobIDaaLluT2HUoBwz5p3fQtl6wROHQ+fB6Jbwog==" saltValue="AnMKTfjC334p6RO6r74MrQ==" spinCount="100000" sheet="1" objects="1" scenarios="1"/>
  <mergeCells count="7">
    <mergeCell ref="Q1:R3"/>
    <mergeCell ref="T1:U3"/>
    <mergeCell ref="B20:K20"/>
    <mergeCell ref="C1:D3"/>
    <mergeCell ref="H1:I3"/>
    <mergeCell ref="K1:L3"/>
    <mergeCell ref="N1:O3"/>
  </mergeCells>
  <dataValidations count="5">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1 F13" xr:uid="{00000000-0002-0000-0800-000000000000}">
      <formula1>0</formula1>
    </dataValidation>
    <dataValidation type="decimal" operator="greaterThan" allowBlank="1" showInputMessage="1" showErrorMessage="1" errorTitle="Kaufpreis" error="Bitte gib den Kaufpreis als Zahl &gt; 0 ein." promptTitle="Kaufpreis" prompt="Bitte gib hier den Kaufpreis ein, mit dem du kalkulieren möchtest. Bspw. 55000 für 55 Tausend Euro." sqref="F8" xr:uid="{00000000-0002-0000-0800-000001000000}">
      <formula1>0</formula1>
    </dataValidation>
    <dataValidation type="decimal" operator="greaterThanOrEqual" allowBlank="1" showInputMessage="1" showErrorMessage="1" errorTitle="Nicht umlagefähiges Hausgeld" error="Bitte gib das Hausgeld pro Monat in Euro ein, bspw. 49. Der Wert darf nicht negativ sein." promptTitle="Nicht umlagefähiges Hausgeld" prompt="Gib hier die Höhe des nicht umlagefähigen Anteils des Hausgeldes ein. Du findest dieses bspw. im aktuellen Wirtschaftsplan der Wohnung." sqref="E8" xr:uid="{00000000-0002-0000-0800-000002000000}">
      <formula1>0</formula1>
    </dataValidation>
    <dataValidation type="decimal" operator="greaterThanOrEqual" allowBlank="1" showInputMessage="1" showErrorMessage="1" errorTitle="Eigene Instandhaltungsrücklage" error="Bitte gib deine eigene Instandhaltungsrücklage in Euro pro m² Wohnfläche und Jahr ein, bspw. 10. Die Rücklage darf nicht negativ sein." promptTitle="Eigene Instandhaltungsrücklage" prompt="Wie viel Geld möchtest du für die Instandhaltung zurücklegen. Eine übliche Annahme sind 10€ pro m&quot; Wohnfläche und Jahr. Gib die Rücklage als Euro Betrag ein, bspw. 10." sqref="E13" xr:uid="{00000000-0002-0000-0800-000003000000}">
      <formula1>0</formula1>
    </dataValidation>
    <dataValidation type="decimal" allowBlank="1" showInputMessage="1" showErrorMessage="1" errorTitle="Rücklage für Mietausfall" error="Bitte gib die Höhe der Rücklage für Mietausfall in % ein. Der Wert muss zwischen 0% und 100% liegen." promptTitle="Rücklage für Mietausfall" prompt="Hier gibst du ein, wie viel % der Warmmiete du für zukünftigen Mietausfall zurücklegen möchtest. Die richtige Höhe hängt von der Lage und Vermietbarkeit der Immobilie ab. Unsere Standard-Annahme sind 3%._x000a__x000a_Format: Rücklage in % der Warmmiete, bspw. 3%." sqref="E11" xr:uid="{00000000-0002-0000-0800-000004000000}">
      <formula1>0</formula1>
      <formula2>1</formula2>
    </dataValidation>
  </dataValidations>
  <hyperlinks>
    <hyperlink ref="B20" location="Deckblatt!A1" display="Keine Gewähr für die Richtigkeit der Angaben. Dieses Tool ersetzt keine fundierte Rechts-, Steuer- oder Finanzberatung. Mehr Details hier." xr:uid="{00000000-0004-0000-0800-000000000000}"/>
  </hyperlinks>
  <pageMargins left="0.25" right="0.25" top="0.75" bottom="0.75" header="0.3" footer="0.3"/>
  <pageSetup paperSize="9" scale="73" orientation="landscape" r:id="rId1"/>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pageSetUpPr fitToPage="1"/>
  </sheetPr>
  <dimension ref="A1:W30"/>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51.75" customHeight="1"/>
    <row r="10" spans="1:23" s="13" customFormat="1" ht="25.5" customHeight="1">
      <c r="G10" s="5"/>
    </row>
    <row r="11" spans="1:23" ht="23">
      <c r="B11" s="293"/>
      <c r="C11" s="268"/>
      <c r="D11" s="268"/>
      <c r="F11" s="375"/>
      <c r="I11" s="13"/>
      <c r="J11" s="13"/>
    </row>
    <row r="12" spans="1:23" ht="15" customHeight="1">
      <c r="B12" s="268"/>
      <c r="M12" s="5"/>
      <c r="N12" s="5"/>
      <c r="O12" s="5"/>
      <c r="P12" s="5"/>
    </row>
    <row r="13" spans="1:23" s="13" customFormat="1" ht="25.5" customHeight="1">
      <c r="B13" s="268"/>
      <c r="C13" s="268"/>
      <c r="D13" s="270"/>
      <c r="E13" s="270"/>
      <c r="F13" s="278"/>
    </row>
    <row r="14" spans="1:23" ht="52.5" customHeight="1">
      <c r="B14" s="268"/>
      <c r="C14" s="268"/>
      <c r="D14" s="268"/>
      <c r="E14" s="270"/>
      <c r="F14" s="270"/>
      <c r="H14" s="376"/>
      <c r="M14" s="5"/>
      <c r="N14" s="5"/>
      <c r="O14" s="5"/>
      <c r="P14" s="5"/>
    </row>
    <row r="15" spans="1:23" ht="17.25" customHeight="1">
      <c r="B15" s="268"/>
      <c r="C15" s="268"/>
      <c r="D15" s="268"/>
      <c r="E15" s="270"/>
      <c r="F15" s="270"/>
      <c r="M15" s="5"/>
      <c r="N15" s="5"/>
      <c r="O15" s="5"/>
      <c r="P15" s="5"/>
    </row>
    <row r="16" spans="1:23" ht="17.25" customHeight="1">
      <c r="B16" s="268"/>
      <c r="C16" s="268"/>
      <c r="D16" s="268"/>
      <c r="E16" s="270"/>
      <c r="F16" s="270"/>
      <c r="M16" s="5"/>
      <c r="N16" s="5"/>
      <c r="O16" s="5"/>
      <c r="P16" s="5"/>
    </row>
    <row r="17" spans="1:23" ht="17.25" customHeight="1">
      <c r="B17" s="268"/>
      <c r="C17" s="268"/>
      <c r="D17" s="268"/>
      <c r="E17" s="270"/>
      <c r="F17" s="270"/>
      <c r="M17" s="5"/>
      <c r="N17" s="5"/>
      <c r="O17" s="5"/>
      <c r="P17" s="5"/>
    </row>
    <row r="18" spans="1:23" ht="17.25" customHeight="1">
      <c r="B18" s="268"/>
      <c r="C18" s="268"/>
      <c r="D18" s="268"/>
      <c r="E18" s="270"/>
      <c r="F18" s="270"/>
      <c r="M18" s="5"/>
      <c r="N18" s="5"/>
      <c r="O18" s="5"/>
      <c r="P18" s="5"/>
    </row>
    <row r="19" spans="1:23" ht="17.25" customHeight="1">
      <c r="B19" s="268"/>
      <c r="C19" s="268"/>
      <c r="D19" s="268"/>
      <c r="E19" s="270"/>
      <c r="F19" s="270"/>
      <c r="M19" s="5"/>
      <c r="N19" s="5"/>
      <c r="O19" s="5"/>
      <c r="P19" s="5"/>
    </row>
    <row r="20" spans="1:23">
      <c r="M20" s="5"/>
      <c r="N20" s="5"/>
      <c r="O20" s="5"/>
      <c r="P20" s="5"/>
    </row>
    <row r="21" spans="1:23">
      <c r="B21" s="441" t="s">
        <v>269</v>
      </c>
      <c r="C21" s="441"/>
      <c r="D21" s="441"/>
      <c r="E21" s="441"/>
      <c r="F21" s="441"/>
      <c r="G21" s="441"/>
      <c r="H21" s="441"/>
      <c r="I21" s="441"/>
      <c r="J21" s="441"/>
      <c r="K21" s="441"/>
      <c r="M21" s="5"/>
      <c r="N21" s="5"/>
      <c r="O21" s="5"/>
      <c r="P21" s="5"/>
    </row>
    <row r="22" spans="1:23">
      <c r="M22" s="5"/>
      <c r="N22" s="5"/>
      <c r="O22" s="5"/>
    </row>
    <row r="23" spans="1:23">
      <c r="M23" s="5"/>
      <c r="N23" s="5"/>
      <c r="O23" s="5"/>
    </row>
    <row r="24" spans="1:23">
      <c r="M24" s="5"/>
      <c r="N24" s="5"/>
      <c r="O24" s="5"/>
    </row>
    <row r="25" spans="1:23">
      <c r="N25" s="5"/>
      <c r="O25" s="5"/>
      <c r="S25" s="6"/>
    </row>
    <row r="26" spans="1:23" s="4" customFormat="1">
      <c r="A26" s="5"/>
      <c r="E26" s="5"/>
      <c r="F26" s="5"/>
      <c r="G26" s="5"/>
      <c r="H26" s="5"/>
      <c r="I26" s="5"/>
      <c r="J26" s="5"/>
      <c r="K26" s="5"/>
      <c r="L26" s="5"/>
      <c r="N26" s="5"/>
      <c r="O26" s="5"/>
      <c r="Q26" s="5"/>
      <c r="R26" s="5"/>
      <c r="S26" s="5"/>
      <c r="T26" s="5"/>
      <c r="U26" s="5"/>
      <c r="V26" s="5"/>
      <c r="W26" s="5"/>
    </row>
    <row r="27" spans="1:23" s="4" customFormat="1">
      <c r="A27" s="5"/>
      <c r="B27" s="5"/>
      <c r="C27" s="5"/>
      <c r="D27" s="5"/>
      <c r="E27" s="5"/>
      <c r="F27" s="5"/>
      <c r="G27" s="5"/>
      <c r="H27" s="5"/>
      <c r="I27" s="5"/>
      <c r="J27" s="5"/>
      <c r="K27" s="5"/>
      <c r="L27" s="5"/>
      <c r="N27" s="5"/>
      <c r="O27" s="5"/>
      <c r="Q27" s="5"/>
      <c r="R27" s="5"/>
      <c r="S27" s="5"/>
      <c r="T27" s="5"/>
      <c r="U27" s="5"/>
      <c r="V27" s="5"/>
      <c r="W27" s="5"/>
    </row>
    <row r="28" spans="1:23" s="4" customFormat="1">
      <c r="A28" s="5"/>
      <c r="B28" s="5"/>
      <c r="C28" s="5"/>
      <c r="D28" s="5"/>
      <c r="E28" s="5"/>
      <c r="F28" s="5"/>
      <c r="G28" s="5"/>
      <c r="H28" s="5"/>
      <c r="I28" s="5"/>
      <c r="J28" s="5"/>
      <c r="K28" s="5"/>
      <c r="L28" s="5"/>
      <c r="N28" s="5"/>
      <c r="O28" s="5"/>
      <c r="Q28" s="5"/>
      <c r="R28" s="5"/>
      <c r="S28" s="5"/>
      <c r="T28" s="5"/>
      <c r="U28" s="5"/>
      <c r="V28" s="5"/>
      <c r="W28" s="5"/>
    </row>
    <row r="29" spans="1:23" s="4" customFormat="1">
      <c r="A29" s="5"/>
      <c r="B29" s="5"/>
      <c r="C29" s="5"/>
      <c r="D29" s="5"/>
      <c r="E29" s="5"/>
      <c r="F29" s="5"/>
      <c r="G29" s="5"/>
      <c r="H29" s="5"/>
      <c r="I29" s="5"/>
      <c r="J29" s="5"/>
      <c r="K29" s="5"/>
      <c r="L29" s="5"/>
      <c r="N29" s="5"/>
      <c r="O29" s="5"/>
      <c r="Q29" s="5"/>
      <c r="R29" s="5"/>
      <c r="S29" s="5"/>
      <c r="T29" s="5"/>
      <c r="U29" s="5"/>
      <c r="V29" s="5"/>
      <c r="W29" s="5"/>
    </row>
    <row r="30" spans="1:23" s="4" customFormat="1">
      <c r="A30" s="5"/>
      <c r="B30" s="5"/>
      <c r="C30" s="5"/>
      <c r="D30" s="5"/>
      <c r="E30" s="5"/>
      <c r="F30" s="5"/>
      <c r="G30" s="5"/>
      <c r="H30" s="5"/>
      <c r="I30" s="5"/>
      <c r="J30" s="5"/>
      <c r="K30" s="5"/>
      <c r="L30" s="5"/>
      <c r="N30" s="5"/>
      <c r="O30" s="5"/>
      <c r="Q30" s="5"/>
      <c r="R30" s="5"/>
      <c r="S30" s="5"/>
      <c r="T30" s="5"/>
      <c r="U30" s="5"/>
      <c r="V30" s="5"/>
      <c r="W30" s="5"/>
    </row>
  </sheetData>
  <sheetProtection algorithmName="SHA-512" hashValue="7ZHni0i/6lKqU3LjGgYVLdTbUTzWbytRvqREt6NesP3bIEy6gEhYfa8JEYWz0W+FzHlkxJBEfefvJT7cGeL2Pw==" saltValue="3qwtjraqVjY9gRVYayQmPQ==" spinCount="100000" sheet="1" objects="1" scenarios="1"/>
  <mergeCells count="7">
    <mergeCell ref="N1:O3"/>
    <mergeCell ref="Q1:R3"/>
    <mergeCell ref="T1:U3"/>
    <mergeCell ref="B21:K21"/>
    <mergeCell ref="C1:D3"/>
    <mergeCell ref="H1:I3"/>
    <mergeCell ref="K1:L3"/>
  </mergeCells>
  <dataValidations disablePrompts="1" count="1">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3" xr:uid="{00000000-0002-0000-0900-000000000000}">
      <formula1>0</formula1>
    </dataValidation>
  </dataValidations>
  <hyperlinks>
    <hyperlink ref="B21" location="Deckblatt!A1" display="Keine Gewähr für die Richtigkeit der Angaben. Dieses Tool ersetzt keine fundierte Rechts-, Steuer- oder Finanzberatung. Mehr Details hier." xr:uid="{00000000-0004-0000-0900-000000000000}"/>
  </hyperlinks>
  <pageMargins left="0.25" right="0.25" top="0.75" bottom="0.75" header="0.3" footer="0.3"/>
  <pageSetup paperSize="9" scale="73" orientation="landscape"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3"/>
    <pageSetUpPr fitToPage="1"/>
  </sheetPr>
  <dimension ref="A1:W27"/>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ht="124.5" customHeight="1"/>
    <row r="9" spans="1:23" ht="21.75" customHeight="1"/>
    <row r="10" spans="1:23" s="13" customFormat="1" ht="25.5" customHeight="1">
      <c r="B10" s="265" t="s">
        <v>421</v>
      </c>
      <c r="C10" s="266"/>
      <c r="D10" s="268"/>
      <c r="E10" s="410"/>
      <c r="G10" s="295"/>
      <c r="H10" s="295"/>
    </row>
    <row r="11" spans="1:23" ht="85.5" customHeight="1">
      <c r="B11" s="293"/>
      <c r="C11" s="268"/>
      <c r="D11" s="268"/>
      <c r="E11" s="270"/>
      <c r="F11" s="270"/>
      <c r="M11" s="5"/>
      <c r="N11" s="5"/>
      <c r="O11" s="5"/>
      <c r="P11" s="5"/>
    </row>
    <row r="12" spans="1:23" ht="25.5" customHeight="1">
      <c r="B12" s="265" t="str">
        <f>CONCATENATE("Gleiche Rate in ",IF(calc_rf!C9=1,"einem Jahr",CONCATENATE(calc_rf!C9," Jahren"))," bei:")</f>
        <v>Gleiche Rate in einem Jahr bei:</v>
      </c>
      <c r="C12" s="268"/>
      <c r="D12" s="268"/>
      <c r="E12" s="399" t="str">
        <f ca="1">calc_rf!C11</f>
        <v>-</v>
      </c>
      <c r="F12" s="270"/>
      <c r="M12" s="5"/>
      <c r="N12" s="5"/>
      <c r="O12" s="5"/>
      <c r="P12" s="5"/>
    </row>
    <row r="13" spans="1:23" s="13" customFormat="1" ht="25.5" customHeight="1">
      <c r="B13" s="268"/>
      <c r="C13" s="268"/>
      <c r="D13" s="270"/>
      <c r="E13" s="270"/>
      <c r="F13" s="278"/>
      <c r="I13" s="298"/>
    </row>
    <row r="14" spans="1:23" ht="52.5" customHeight="1">
      <c r="B14" s="268"/>
      <c r="C14" s="268"/>
      <c r="D14" s="268"/>
      <c r="E14" s="270"/>
      <c r="F14" s="270"/>
      <c r="M14" s="5"/>
      <c r="N14" s="5"/>
      <c r="O14" s="5"/>
      <c r="P14" s="5"/>
    </row>
    <row r="15" spans="1:23" s="13" customFormat="1" ht="25.5" customHeight="1">
      <c r="B15" s="268"/>
      <c r="C15" s="268"/>
      <c r="D15" s="268"/>
      <c r="E15" s="270"/>
      <c r="F15" s="270"/>
    </row>
    <row r="16" spans="1:23" ht="16">
      <c r="B16" s="268"/>
      <c r="C16" s="268"/>
      <c r="D16" s="268"/>
      <c r="E16" s="270"/>
      <c r="F16" s="270"/>
      <c r="M16" s="5"/>
      <c r="N16" s="5"/>
      <c r="O16" s="5"/>
      <c r="P16" s="5"/>
    </row>
    <row r="17" spans="1:23">
      <c r="M17" s="5"/>
      <c r="N17" s="5"/>
      <c r="O17" s="5"/>
      <c r="P17" s="5"/>
    </row>
    <row r="18" spans="1:23">
      <c r="B18" s="441" t="s">
        <v>269</v>
      </c>
      <c r="C18" s="441"/>
      <c r="D18" s="441"/>
      <c r="E18" s="441"/>
      <c r="F18" s="441"/>
      <c r="G18" s="441"/>
      <c r="H18" s="441"/>
      <c r="I18" s="441"/>
      <c r="J18" s="441"/>
      <c r="K18" s="441"/>
      <c r="M18" s="5"/>
      <c r="N18" s="5"/>
      <c r="O18" s="5"/>
      <c r="P18" s="5"/>
    </row>
    <row r="19" spans="1:23">
      <c r="M19" s="5"/>
      <c r="N19" s="5"/>
      <c r="O19" s="5"/>
    </row>
    <row r="20" spans="1:23">
      <c r="M20" s="5"/>
      <c r="N20" s="5"/>
      <c r="O20" s="5"/>
    </row>
    <row r="21" spans="1:23">
      <c r="M21" s="5"/>
      <c r="N21" s="5"/>
      <c r="O21" s="5"/>
    </row>
    <row r="22" spans="1:23">
      <c r="N22" s="5"/>
      <c r="O22" s="5"/>
      <c r="S22" s="6"/>
    </row>
    <row r="23" spans="1:23" s="4" customFormat="1">
      <c r="A23" s="5"/>
      <c r="B23" s="5"/>
      <c r="C23" s="5"/>
      <c r="D23" s="5"/>
      <c r="E23" s="5"/>
      <c r="F23" s="5"/>
      <c r="G23" s="5"/>
      <c r="H23" s="5"/>
      <c r="I23" s="5"/>
      <c r="J23" s="5"/>
      <c r="K23" s="5"/>
      <c r="L23" s="5"/>
      <c r="N23" s="5"/>
      <c r="O23" s="5"/>
      <c r="Q23" s="5"/>
      <c r="R23" s="5"/>
      <c r="S23" s="5"/>
      <c r="T23" s="5"/>
      <c r="U23" s="5"/>
      <c r="V23" s="5"/>
      <c r="W23" s="5"/>
    </row>
    <row r="24" spans="1:23" s="4" customFormat="1">
      <c r="A24" s="5"/>
      <c r="B24" s="5"/>
      <c r="C24" s="5"/>
      <c r="D24" s="5"/>
      <c r="E24" s="5"/>
      <c r="F24" s="5"/>
      <c r="G24" s="5"/>
      <c r="H24" s="5"/>
      <c r="I24" s="5"/>
      <c r="J24" s="5"/>
      <c r="K24" s="5"/>
      <c r="L24" s="5"/>
      <c r="N24" s="5"/>
      <c r="O24" s="5"/>
      <c r="Q24" s="5"/>
      <c r="R24" s="5"/>
      <c r="S24" s="5"/>
      <c r="T24" s="5"/>
      <c r="U24" s="5"/>
      <c r="V24" s="5"/>
      <c r="W24" s="5"/>
    </row>
    <row r="25" spans="1:23" s="4" customFormat="1">
      <c r="A25" s="5"/>
      <c r="B25" s="5"/>
      <c r="C25" s="5"/>
      <c r="D25" s="5"/>
      <c r="E25" s="5"/>
      <c r="F25" s="5"/>
      <c r="G25" s="5"/>
      <c r="H25" s="5"/>
      <c r="I25" s="5"/>
      <c r="J25" s="5"/>
      <c r="K25" s="5"/>
      <c r="L25" s="5"/>
      <c r="N25" s="5"/>
      <c r="O25" s="5"/>
      <c r="Q25" s="5"/>
      <c r="R25" s="5"/>
      <c r="S25" s="5"/>
      <c r="T25" s="5"/>
      <c r="U25" s="5"/>
      <c r="V25" s="5"/>
      <c r="W25" s="5"/>
    </row>
    <row r="26" spans="1:23" s="4" customFormat="1">
      <c r="A26" s="5"/>
      <c r="B26" s="5"/>
      <c r="C26" s="5"/>
      <c r="D26" s="5"/>
      <c r="E26" s="5"/>
      <c r="F26" s="5"/>
      <c r="G26" s="5"/>
      <c r="H26" s="5"/>
      <c r="I26" s="5"/>
      <c r="J26" s="5"/>
      <c r="K26" s="5"/>
      <c r="L26" s="5"/>
      <c r="N26" s="5"/>
      <c r="O26" s="5"/>
      <c r="Q26" s="5"/>
      <c r="R26" s="5"/>
      <c r="S26" s="5"/>
      <c r="T26" s="5"/>
      <c r="U26" s="5"/>
      <c r="V26" s="5"/>
      <c r="W26" s="5"/>
    </row>
    <row r="27" spans="1:23" s="4" customFormat="1">
      <c r="A27" s="5"/>
      <c r="B27" s="5"/>
      <c r="C27" s="5"/>
      <c r="D27" s="5"/>
      <c r="E27" s="5"/>
      <c r="F27" s="5"/>
      <c r="G27" s="5"/>
      <c r="H27" s="5"/>
      <c r="I27" s="5"/>
      <c r="J27" s="5"/>
      <c r="K27" s="5"/>
      <c r="L27" s="5"/>
      <c r="N27" s="5"/>
      <c r="O27" s="5"/>
      <c r="Q27" s="5"/>
      <c r="R27" s="5"/>
      <c r="S27" s="5"/>
      <c r="T27" s="5"/>
      <c r="U27" s="5"/>
      <c r="V27" s="5"/>
      <c r="W27" s="5"/>
    </row>
  </sheetData>
  <sheetProtection algorithmName="SHA-512" hashValue="/rYME0NUD34+cBnq1ZXEtDGsC3tGeGAYr3wElAMNShPhmI5a8T+PiOOlJS8KKuCVbb42q7OH4m/xDn8rzFhhqw==" saltValue="38F++9/xOzI8Xl3xXPGBJA==" spinCount="100000" sheet="1" objects="1" scenarios="1"/>
  <mergeCells count="7">
    <mergeCell ref="N1:O3"/>
    <mergeCell ref="Q1:R3"/>
    <mergeCell ref="T1:U3"/>
    <mergeCell ref="B18:K18"/>
    <mergeCell ref="C1:D3"/>
    <mergeCell ref="H1:I3"/>
    <mergeCell ref="K1:L3"/>
  </mergeCells>
  <dataValidations count="3">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3" xr:uid="{00000000-0002-0000-0A00-000000000000}">
      <formula1>0</formula1>
    </dataValidation>
    <dataValidation operator="greaterThanOrEqual" allowBlank="1" showInputMessage="1" errorTitle="Zinsfestschreibung" error="Bitte gib die Dauer der Festschreibung in Jahren ein. Bspw. 15 für 15 Jahre." promptTitle="Zins für gleiche Rate" prompt="Bei dieserm Zinssatz bleibt deine Rate an die Bank bei der Anschlussfinanzierung gleich hoch." sqref="E12" xr:uid="{00000000-0002-0000-0A00-000001000000}"/>
    <dataValidation type="whole" operator="greaterThanOrEqual" allowBlank="1" showInputMessage="1" showErrorMessage="1" errorTitle="Zinsfestschreibung" error="Bitte gib die Dauer der Festschreibung in ganzen Jahren ein. Bspw. 15 für 15 Jahre." promptTitle="Zinsfestschreibung" prompt="Hier gibst du ein, für wie viele Jahre du im Darlehen die Zinsen festschreiben lassen willst." sqref="E10" xr:uid="{00000000-0002-0000-0A00-000002000000}">
      <formula1>0</formula1>
    </dataValidation>
  </dataValidations>
  <hyperlinks>
    <hyperlink ref="B18" location="Deckblatt!A1" display="Keine Gewähr für die Richtigkeit der Angaben. Dieses Tool ersetzt keine fundierte Rechts-, Steuer- oder Finanzberatung. Mehr Details hier." xr:uid="{00000000-0004-0000-0A00-000000000000}"/>
  </hyperlinks>
  <pageMargins left="0.25" right="0.25" top="0.75" bottom="0.75" header="0.3" footer="0.3"/>
  <pageSetup paperSize="9" scale="73" orientation="landscape" r:id="rId1"/>
  <drawing r:id="rId2"/>
  <legacy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3"/>
    <pageSetUpPr fitToPage="1"/>
  </sheetPr>
  <dimension ref="A1:W31"/>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93"/>
      <c r="C8" s="268"/>
      <c r="D8" s="268"/>
      <c r="E8" s="270"/>
      <c r="G8" s="295"/>
      <c r="H8" s="295"/>
    </row>
    <row r="9" spans="1:23" ht="67.5" customHeight="1">
      <c r="B9" s="293"/>
      <c r="C9" s="268"/>
      <c r="D9" s="268"/>
      <c r="E9" s="270"/>
      <c r="F9" s="270"/>
      <c r="M9" s="5"/>
      <c r="N9" s="5"/>
      <c r="O9" s="5"/>
      <c r="P9" s="5"/>
    </row>
    <row r="10" spans="1:23" ht="25.5" customHeight="1">
      <c r="B10" s="293"/>
      <c r="C10" s="268"/>
      <c r="D10" s="268"/>
      <c r="E10" s="270"/>
      <c r="F10" s="270"/>
      <c r="M10" s="5"/>
      <c r="N10" s="5"/>
      <c r="O10" s="5"/>
      <c r="P10" s="5"/>
    </row>
    <row r="11" spans="1:23" s="13" customFormat="1" ht="25.5" customHeight="1">
      <c r="B11" s="268"/>
      <c r="C11" s="268"/>
      <c r="D11" s="270"/>
      <c r="E11" s="270"/>
      <c r="F11" s="278"/>
      <c r="I11" s="298"/>
    </row>
    <row r="12" spans="1:23" ht="52.5" customHeight="1">
      <c r="B12" s="268"/>
      <c r="C12" s="268"/>
      <c r="D12" s="268"/>
      <c r="E12" s="270"/>
      <c r="F12" s="270"/>
      <c r="M12" s="5"/>
      <c r="N12" s="5"/>
      <c r="O12" s="5"/>
      <c r="P12" s="5"/>
    </row>
    <row r="13" spans="1:23" ht="16">
      <c r="B13" s="268"/>
      <c r="C13" s="268"/>
      <c r="D13" s="268"/>
      <c r="E13" s="270"/>
      <c r="F13" s="270"/>
      <c r="M13" s="5"/>
      <c r="N13" s="5"/>
      <c r="O13" s="5"/>
      <c r="P13" s="5"/>
    </row>
    <row r="14" spans="1:23" ht="16">
      <c r="B14" s="268"/>
      <c r="C14" s="268"/>
      <c r="D14" s="268"/>
      <c r="E14" s="270"/>
      <c r="F14" s="270"/>
      <c r="M14" s="5"/>
      <c r="N14" s="5"/>
      <c r="O14" s="5"/>
      <c r="P14" s="5"/>
    </row>
    <row r="15" spans="1:23">
      <c r="M15" s="5"/>
      <c r="N15" s="5"/>
      <c r="O15" s="5"/>
      <c r="P15" s="5"/>
    </row>
    <row r="16" spans="1:23">
      <c r="M16" s="5"/>
      <c r="N16" s="5"/>
      <c r="O16" s="5"/>
      <c r="P16" s="5"/>
    </row>
    <row r="17" spans="1:23">
      <c r="M17" s="5"/>
      <c r="N17" s="5"/>
      <c r="O17" s="5"/>
      <c r="P17" s="5"/>
    </row>
    <row r="18" spans="1:23">
      <c r="M18" s="5"/>
      <c r="N18" s="5"/>
      <c r="O18" s="5"/>
      <c r="P18" s="5"/>
    </row>
    <row r="19" spans="1:23">
      <c r="M19" s="5"/>
      <c r="N19" s="5"/>
      <c r="O19" s="5"/>
      <c r="P19" s="5"/>
    </row>
    <row r="20" spans="1:23">
      <c r="M20" s="5"/>
      <c r="N20" s="5"/>
      <c r="O20" s="5"/>
      <c r="P20" s="5"/>
    </row>
    <row r="21" spans="1:23">
      <c r="M21" s="5"/>
      <c r="N21" s="5"/>
      <c r="O21" s="5"/>
      <c r="P21" s="5"/>
    </row>
    <row r="22" spans="1:23">
      <c r="B22" s="441" t="s">
        <v>269</v>
      </c>
      <c r="C22" s="441"/>
      <c r="D22" s="441"/>
      <c r="E22" s="441"/>
      <c r="F22" s="441"/>
      <c r="G22" s="441"/>
      <c r="H22" s="441"/>
      <c r="I22" s="441"/>
      <c r="J22" s="441"/>
      <c r="K22" s="441"/>
      <c r="M22" s="5"/>
      <c r="N22" s="5"/>
      <c r="O22" s="5"/>
      <c r="P22" s="5"/>
    </row>
    <row r="23" spans="1:23">
      <c r="M23" s="5"/>
      <c r="N23" s="5"/>
      <c r="O23" s="5"/>
    </row>
    <row r="24" spans="1:23">
      <c r="M24" s="5"/>
      <c r="N24" s="5"/>
      <c r="O24" s="5"/>
    </row>
    <row r="25" spans="1:23">
      <c r="M25" s="5"/>
      <c r="N25" s="5"/>
      <c r="O25" s="5"/>
    </row>
    <row r="26" spans="1:23">
      <c r="N26" s="5"/>
      <c r="O26" s="5"/>
      <c r="S26" s="6"/>
    </row>
    <row r="27" spans="1:23" s="4" customFormat="1">
      <c r="A27" s="5"/>
      <c r="B27" s="5"/>
      <c r="C27" s="5"/>
      <c r="D27" s="5"/>
      <c r="E27" s="5"/>
      <c r="F27" s="5"/>
      <c r="G27" s="5"/>
      <c r="H27" s="5"/>
      <c r="I27" s="5"/>
      <c r="J27" s="5"/>
      <c r="K27" s="5"/>
      <c r="L27" s="5"/>
      <c r="N27" s="5"/>
      <c r="O27" s="5"/>
      <c r="Q27" s="5"/>
      <c r="R27" s="5"/>
      <c r="S27" s="5"/>
      <c r="T27" s="5"/>
      <c r="U27" s="5"/>
      <c r="V27" s="5"/>
      <c r="W27" s="5"/>
    </row>
    <row r="28" spans="1:23" s="4" customFormat="1">
      <c r="A28" s="5"/>
      <c r="B28" s="5"/>
      <c r="C28" s="5"/>
      <c r="D28" s="5"/>
      <c r="E28" s="5"/>
      <c r="F28" s="5"/>
      <c r="G28" s="5"/>
      <c r="H28" s="5"/>
      <c r="I28" s="5"/>
      <c r="J28" s="5"/>
      <c r="K28" s="5"/>
      <c r="L28" s="5"/>
      <c r="N28" s="5"/>
      <c r="O28" s="5"/>
      <c r="Q28" s="5"/>
      <c r="R28" s="5"/>
      <c r="S28" s="5"/>
      <c r="T28" s="5"/>
      <c r="U28" s="5"/>
      <c r="V28" s="5"/>
      <c r="W28" s="5"/>
    </row>
    <row r="29" spans="1:23" s="4" customFormat="1">
      <c r="A29" s="5"/>
      <c r="B29" s="5"/>
      <c r="C29" s="5"/>
      <c r="D29" s="5"/>
      <c r="E29" s="5"/>
      <c r="F29" s="5"/>
      <c r="G29" s="5"/>
      <c r="H29" s="5"/>
      <c r="I29" s="5"/>
      <c r="J29" s="5"/>
      <c r="K29" s="5"/>
      <c r="L29" s="5"/>
      <c r="N29" s="5"/>
      <c r="O29" s="5"/>
      <c r="Q29" s="5"/>
      <c r="R29" s="5"/>
      <c r="S29" s="5"/>
      <c r="T29" s="5"/>
      <c r="U29" s="5"/>
      <c r="V29" s="5"/>
      <c r="W29" s="5"/>
    </row>
    <row r="30" spans="1:23" s="4" customFormat="1">
      <c r="A30" s="5"/>
      <c r="B30" s="5"/>
      <c r="C30" s="5"/>
      <c r="D30" s="5"/>
      <c r="E30" s="5"/>
      <c r="F30" s="5"/>
      <c r="G30" s="5"/>
      <c r="H30" s="5"/>
      <c r="I30" s="5"/>
      <c r="J30" s="5"/>
      <c r="K30" s="5"/>
      <c r="L30" s="5"/>
      <c r="N30" s="5"/>
      <c r="O30" s="5"/>
      <c r="Q30" s="5"/>
      <c r="R30" s="5"/>
      <c r="S30" s="5"/>
      <c r="T30" s="5"/>
      <c r="U30" s="5"/>
      <c r="V30" s="5"/>
      <c r="W30" s="5"/>
    </row>
    <row r="31" spans="1:23" s="4" customFormat="1">
      <c r="A31" s="5"/>
      <c r="B31" s="5"/>
      <c r="C31" s="5"/>
      <c r="D31" s="5"/>
      <c r="E31" s="5"/>
      <c r="F31" s="5"/>
      <c r="G31" s="5"/>
      <c r="H31" s="5"/>
      <c r="I31" s="5"/>
      <c r="J31" s="5"/>
      <c r="K31" s="5"/>
      <c r="L31" s="5"/>
      <c r="N31" s="5"/>
      <c r="O31" s="5"/>
      <c r="Q31" s="5"/>
      <c r="R31" s="5"/>
      <c r="S31" s="5"/>
      <c r="T31" s="5"/>
      <c r="U31" s="5"/>
      <c r="V31" s="5"/>
      <c r="W31" s="5"/>
    </row>
  </sheetData>
  <sheetProtection algorithmName="SHA-512" hashValue="lel0e7VDAOJkEZMXX4wopDrOOQHUoG0rCF48RLOiOMWCsqAB8Jj9x2GCBAfS76R412vOx6W/iyICGAD3IzGR/A==" saltValue="c93liqECyID0YCDX73B6cg==" spinCount="100000" sheet="1" objects="1" scenarios="1"/>
  <mergeCells count="7">
    <mergeCell ref="Q1:R3"/>
    <mergeCell ref="T1:U3"/>
    <mergeCell ref="B22:K22"/>
    <mergeCell ref="C1:D3"/>
    <mergeCell ref="H1:I3"/>
    <mergeCell ref="K1:L3"/>
    <mergeCell ref="N1:O3"/>
  </mergeCells>
  <dataValidations count="1">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1" xr:uid="{00000000-0002-0000-0B00-000000000000}">
      <formula1>0</formula1>
    </dataValidation>
  </dataValidations>
  <hyperlinks>
    <hyperlink ref="B22" location="Deckblatt!A1" display="Keine Gewähr für die Richtigkeit der Angaben. Dieses Tool ersetzt keine fundierte Rechts-, Steuer- oder Finanzberatung. Mehr Details hier." xr:uid="{00000000-0004-0000-0B00-000000000000}"/>
  </hyperlinks>
  <pageMargins left="0.25" right="0.25" top="0.75" bottom="0.75" header="0.3" footer="0.3"/>
  <pageSetup paperSize="9" scale="73"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3"/>
    <pageSetUpPr fitToPage="1"/>
  </sheetPr>
  <dimension ref="A1:W29"/>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65" t="s">
        <v>316</v>
      </c>
      <c r="C8" s="265"/>
      <c r="D8" s="265"/>
      <c r="H8" s="447"/>
      <c r="I8" s="448"/>
    </row>
    <row r="9" spans="1:23" ht="16">
      <c r="B9" s="293"/>
      <c r="C9" s="293"/>
      <c r="D9" s="293"/>
      <c r="E9" s="270"/>
      <c r="F9" s="270"/>
      <c r="M9" s="5"/>
      <c r="N9" s="5"/>
      <c r="O9" s="5"/>
      <c r="P9" s="5"/>
    </row>
    <row r="10" spans="1:23" s="13" customFormat="1" ht="25.5" customHeight="1">
      <c r="B10" s="268"/>
      <c r="C10" s="268"/>
      <c r="D10" s="270"/>
      <c r="E10" s="270"/>
      <c r="F10" s="278"/>
      <c r="I10" s="298"/>
    </row>
    <row r="11" spans="1:23" ht="52.5" customHeight="1">
      <c r="B11" s="268"/>
      <c r="C11" s="268"/>
      <c r="D11" s="268"/>
      <c r="E11" s="270"/>
      <c r="F11" s="270"/>
      <c r="M11" s="5"/>
      <c r="N11" s="5"/>
      <c r="O11" s="5"/>
      <c r="P11" s="5"/>
    </row>
    <row r="12" spans="1:23" s="13" customFormat="1" ht="25.5" customHeight="1">
      <c r="B12" s="268"/>
      <c r="C12" s="268"/>
      <c r="D12" s="268"/>
      <c r="E12" s="270"/>
      <c r="F12" s="270"/>
    </row>
    <row r="13" spans="1:23" ht="16">
      <c r="B13" s="268"/>
      <c r="C13" s="268"/>
      <c r="D13" s="268"/>
      <c r="E13" s="270"/>
      <c r="F13" s="270"/>
      <c r="M13" s="5"/>
      <c r="N13" s="5"/>
      <c r="O13" s="5"/>
      <c r="P13" s="5"/>
      <c r="T13"/>
    </row>
    <row r="14" spans="1:23" ht="36.75" customHeight="1">
      <c r="E14" s="268"/>
      <c r="F14" s="270"/>
      <c r="H14" s="298" t="s">
        <v>315</v>
      </c>
      <c r="K14"/>
      <c r="M14" s="5"/>
      <c r="N14" s="5"/>
      <c r="O14" s="5"/>
      <c r="P14" s="5"/>
      <c r="S14"/>
    </row>
    <row r="15" spans="1:23" s="13" customFormat="1" ht="25.5" customHeight="1">
      <c r="B15" s="5"/>
      <c r="C15" s="268"/>
      <c r="D15" s="268"/>
      <c r="E15" s="268"/>
      <c r="F15" s="270"/>
    </row>
    <row r="16" spans="1:23" ht="17.25" customHeight="1">
      <c r="B16" s="268"/>
      <c r="C16" s="268"/>
      <c r="D16" s="268"/>
      <c r="E16" s="270"/>
      <c r="F16" s="270"/>
      <c r="M16" s="5"/>
      <c r="N16" s="5"/>
      <c r="O16" s="5"/>
      <c r="P16" s="5"/>
    </row>
    <row r="17" spans="1:23" s="13" customFormat="1" ht="16.5" customHeight="1">
      <c r="B17" s="5"/>
      <c r="C17" s="5"/>
      <c r="D17" s="5"/>
      <c r="E17" s="5"/>
      <c r="F17" s="5"/>
    </row>
    <row r="18" spans="1:23" ht="17.25" customHeight="1">
      <c r="B18" s="268"/>
      <c r="C18" s="268"/>
      <c r="D18" s="268"/>
      <c r="E18" s="270"/>
      <c r="F18" s="270"/>
      <c r="M18" s="5"/>
      <c r="N18" s="5"/>
      <c r="O18" s="5"/>
      <c r="P18" s="5"/>
    </row>
    <row r="19" spans="1:23" s="13" customFormat="1" ht="25.5" customHeight="1">
      <c r="B19" s="5"/>
      <c r="C19" s="5"/>
      <c r="D19" s="5"/>
      <c r="E19" s="5"/>
      <c r="F19" s="5"/>
    </row>
    <row r="20" spans="1:23">
      <c r="B20" s="441" t="s">
        <v>269</v>
      </c>
      <c r="C20" s="441"/>
      <c r="D20" s="441"/>
      <c r="E20" s="441"/>
      <c r="F20" s="441"/>
      <c r="G20" s="441"/>
      <c r="H20" s="441"/>
      <c r="I20" s="441"/>
      <c r="J20" s="441"/>
      <c r="K20" s="441"/>
      <c r="M20" s="5"/>
      <c r="N20" s="5"/>
      <c r="O20" s="5"/>
      <c r="P20" s="5"/>
    </row>
    <row r="21" spans="1:23">
      <c r="M21" s="5"/>
      <c r="N21" s="5"/>
      <c r="O21" s="5"/>
    </row>
    <row r="22" spans="1:23">
      <c r="M22" s="5"/>
      <c r="N22" s="5"/>
      <c r="O22" s="5"/>
    </row>
    <row r="23" spans="1:23">
      <c r="M23" s="5"/>
      <c r="N23" s="5"/>
      <c r="O23" s="5"/>
    </row>
    <row r="24" spans="1:23">
      <c r="N24" s="5"/>
      <c r="O24" s="5"/>
      <c r="S24" s="6"/>
    </row>
    <row r="25" spans="1:23" s="4" customFormat="1">
      <c r="A25" s="5"/>
      <c r="B25" s="5"/>
      <c r="C25" s="5"/>
      <c r="D25" s="5"/>
      <c r="E25" s="5"/>
      <c r="F25" s="5"/>
      <c r="G25" s="5"/>
      <c r="H25" s="5"/>
      <c r="I25" s="5"/>
      <c r="J25" s="5"/>
      <c r="K25" s="5"/>
      <c r="L25" s="5"/>
      <c r="N25" s="5"/>
      <c r="O25" s="5"/>
      <c r="Q25" s="5"/>
      <c r="R25" s="5"/>
      <c r="S25" s="5"/>
      <c r="T25" s="5"/>
      <c r="U25" s="5"/>
      <c r="V25" s="5"/>
      <c r="W25" s="5"/>
    </row>
    <row r="26" spans="1:23" s="4" customFormat="1">
      <c r="A26" s="5"/>
      <c r="B26" s="5"/>
      <c r="C26" s="5"/>
      <c r="D26" s="5"/>
      <c r="E26" s="5"/>
      <c r="F26" s="5"/>
      <c r="G26" s="5"/>
      <c r="H26" s="5"/>
      <c r="I26" s="5"/>
      <c r="J26" s="5"/>
      <c r="K26" s="5"/>
      <c r="L26" s="5"/>
      <c r="N26" s="5"/>
      <c r="O26" s="5"/>
      <c r="Q26" s="5"/>
      <c r="R26" s="5"/>
      <c r="S26" s="5"/>
      <c r="T26" s="5"/>
      <c r="U26" s="5"/>
      <c r="V26" s="5"/>
      <c r="W26" s="5"/>
    </row>
    <row r="27" spans="1:23" s="4" customFormat="1">
      <c r="A27" s="5"/>
      <c r="B27" s="5"/>
      <c r="C27" s="5"/>
      <c r="D27" s="5"/>
      <c r="E27" s="5"/>
      <c r="F27" s="5"/>
      <c r="G27" s="5"/>
      <c r="H27" s="5"/>
      <c r="I27" s="5"/>
      <c r="J27" s="5"/>
      <c r="K27" s="5"/>
      <c r="L27" s="5"/>
      <c r="N27" s="5"/>
      <c r="O27" s="5"/>
      <c r="Q27" s="5"/>
      <c r="R27" s="5"/>
      <c r="S27" s="5"/>
      <c r="T27" s="5"/>
      <c r="U27" s="5"/>
      <c r="V27" s="5"/>
      <c r="W27" s="5"/>
    </row>
    <row r="28" spans="1:23" s="4" customFormat="1">
      <c r="A28" s="5"/>
      <c r="B28" s="5"/>
      <c r="C28" s="5"/>
      <c r="D28" s="5"/>
      <c r="E28" s="5"/>
      <c r="F28" s="5"/>
      <c r="G28" s="5"/>
      <c r="H28" s="5"/>
      <c r="I28" s="5"/>
      <c r="J28" s="5"/>
      <c r="K28" s="5"/>
      <c r="L28" s="5"/>
      <c r="N28" s="5"/>
      <c r="O28" s="5"/>
      <c r="Q28" s="5"/>
      <c r="R28" s="5"/>
      <c r="S28" s="5"/>
      <c r="T28" s="5"/>
      <c r="U28" s="5"/>
      <c r="V28" s="5"/>
      <c r="W28" s="5"/>
    </row>
    <row r="29" spans="1:23" s="4" customFormat="1">
      <c r="A29" s="5"/>
      <c r="B29" s="5"/>
      <c r="C29" s="5"/>
      <c r="D29" s="5"/>
      <c r="E29" s="5"/>
      <c r="F29" s="5"/>
      <c r="G29" s="5"/>
      <c r="H29" s="5"/>
      <c r="I29" s="5"/>
      <c r="J29" s="5"/>
      <c r="K29" s="5"/>
      <c r="L29" s="5"/>
      <c r="N29" s="5"/>
      <c r="O29" s="5"/>
      <c r="Q29" s="5"/>
      <c r="R29" s="5"/>
      <c r="S29" s="5"/>
      <c r="T29" s="5"/>
      <c r="U29" s="5"/>
      <c r="V29" s="5"/>
      <c r="W29" s="5"/>
    </row>
  </sheetData>
  <sheetProtection algorithmName="SHA-512" hashValue="nhd8lv77/tM5j2XbNRCDZHAdieGxgPq8oDxo80kwGMR6twWlYZFXLjQhlNk9iptRdroCssp9bYfOF5NB/BmFew==" saltValue="7wJ3w6GyICaFYvsN4lF8Jg==" spinCount="100000" sheet="1" objects="1" scenarios="1"/>
  <mergeCells count="8">
    <mergeCell ref="N1:O3"/>
    <mergeCell ref="Q1:R3"/>
    <mergeCell ref="T1:U3"/>
    <mergeCell ref="B20:K20"/>
    <mergeCell ref="H8:I8"/>
    <mergeCell ref="C1:D3"/>
    <mergeCell ref="H1:I3"/>
    <mergeCell ref="K1:L3"/>
  </mergeCells>
  <dataValidations count="2">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0" xr:uid="{00000000-0002-0000-0C00-000000000000}">
      <formula1>0</formula1>
    </dataValidation>
    <dataValidation type="list" operator="greaterThanOrEqual" allowBlank="1" showInputMessage="1" showErrorMessage="1" errorTitle="Grund und Boden" error="Bitte klicke auf den Pfeil nach unten (rechts neben diesem Eingabefeld) und wähle den Gebäudetyp aus, der am ehesten zu deiner Wohnung passt." promptTitle="Grund und Boden" prompt="Bitte wähle aus, wie viel Grund und Boden zu deiner Wohnung gehört. Du kannst dich an den drei Gebäude-Typen unten orientieren. Bitte wähle dann einen Wert aus der Dropdown Liste aus. Klicke dazu auf den kleinen Pfeil (nach unten) rechts des Eingabefelds." sqref="H8:I8" xr:uid="{00000000-0002-0000-0C00-000001000000}">
      <formula1>"Besonders wenig,Ganz normal,Besonders viel"</formula1>
    </dataValidation>
  </dataValidations>
  <hyperlinks>
    <hyperlink ref="B20" location="Deckblatt!A1" display="Keine Gewähr für die Richtigkeit der Angaben. Dieses Tool ersetzt keine fundierte Rechts-, Steuer- oder Finanzberatung. Mehr Details hier." xr:uid="{00000000-0004-0000-0C00-000000000000}"/>
  </hyperlinks>
  <pageMargins left="0.25" right="0.25" top="0.75" bottom="0.75" header="0.3" footer="0.3"/>
  <pageSetup paperSize="9" scale="73"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3"/>
    <pageSetUpPr fitToPage="1"/>
  </sheetPr>
  <dimension ref="A1:W32"/>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65" t="s">
        <v>398</v>
      </c>
      <c r="C8" s="266"/>
      <c r="D8" s="268"/>
      <c r="E8" s="318"/>
      <c r="G8" s="295"/>
      <c r="H8" s="295"/>
    </row>
    <row r="9" spans="1:23" ht="26.25" customHeight="1">
      <c r="B9" s="293"/>
      <c r="C9" s="268"/>
      <c r="D9" s="268"/>
      <c r="E9" s="270"/>
      <c r="F9" s="270"/>
      <c r="M9" s="5"/>
      <c r="N9" s="5"/>
      <c r="O9" s="5"/>
      <c r="P9" s="5"/>
    </row>
    <row r="10" spans="1:23" ht="25.5" customHeight="1">
      <c r="B10" s="265" t="s">
        <v>351</v>
      </c>
      <c r="E10" s="377"/>
      <c r="F10" s="270"/>
      <c r="M10" s="5"/>
      <c r="N10" s="5"/>
      <c r="O10" s="5"/>
      <c r="P10" s="5"/>
    </row>
    <row r="11" spans="1:23" s="13" customFormat="1" ht="25.5" customHeight="1">
      <c r="B11" s="268"/>
      <c r="C11" s="268"/>
      <c r="D11" s="270"/>
      <c r="E11" s="270"/>
      <c r="F11" s="278"/>
      <c r="I11" s="5"/>
    </row>
    <row r="12" spans="1:23" ht="25.5" customHeight="1">
      <c r="B12" s="265" t="s">
        <v>319</v>
      </c>
      <c r="C12" s="266"/>
      <c r="D12" s="268"/>
      <c r="E12" s="400">
        <f>calc_rf!C21</f>
        <v>0</v>
      </c>
      <c r="F12" s="270"/>
      <c r="M12" s="5"/>
      <c r="N12" s="5"/>
      <c r="O12" s="5"/>
      <c r="P12" s="5"/>
    </row>
    <row r="13" spans="1:23" ht="16">
      <c r="B13" s="265"/>
      <c r="C13" s="266"/>
      <c r="D13" s="268"/>
      <c r="E13" s="301"/>
      <c r="F13" s="270"/>
      <c r="M13" s="5"/>
      <c r="N13" s="5"/>
      <c r="O13" s="5"/>
      <c r="P13" s="5"/>
    </row>
    <row r="14" spans="1:23" s="13" customFormat="1" ht="25.5" customHeight="1">
      <c r="B14" s="265" t="s">
        <v>322</v>
      </c>
      <c r="C14" s="266"/>
      <c r="D14" s="268"/>
      <c r="E14" s="399">
        <f>IF(E8=cnfg_rf!B6,2.5%,2%)</f>
        <v>0.02</v>
      </c>
      <c r="F14" s="270"/>
    </row>
    <row r="15" spans="1:23" ht="16">
      <c r="B15" s="268"/>
      <c r="C15" s="268"/>
      <c r="D15" s="268"/>
      <c r="E15" s="270"/>
      <c r="F15" s="270"/>
      <c r="M15" s="5"/>
      <c r="N15" s="5"/>
      <c r="O15" s="5"/>
      <c r="P15" s="5"/>
    </row>
    <row r="16" spans="1:23" ht="25.5" customHeight="1">
      <c r="B16" s="265" t="s">
        <v>337</v>
      </c>
      <c r="C16" s="268"/>
      <c r="D16" s="268"/>
      <c r="E16" s="401">
        <f>'Kennzahlen im Verlauf'!D24</f>
        <v>0</v>
      </c>
      <c r="F16" s="270"/>
      <c r="H16" s="298" t="s">
        <v>315</v>
      </c>
      <c r="K16"/>
      <c r="M16" s="5"/>
      <c r="N16" s="5"/>
      <c r="O16" s="5"/>
      <c r="P16" s="5"/>
    </row>
    <row r="17" spans="1:23" s="13" customFormat="1" ht="25.5" customHeight="1">
      <c r="B17" s="5"/>
      <c r="C17" s="268"/>
      <c r="D17" s="268"/>
      <c r="E17" s="268"/>
      <c r="F17" s="270"/>
    </row>
    <row r="18" spans="1:23" ht="11.25" customHeight="1">
      <c r="B18" s="268"/>
      <c r="C18" s="268"/>
      <c r="D18" s="268"/>
      <c r="E18" s="270"/>
      <c r="F18" s="270"/>
      <c r="M18" s="5"/>
      <c r="N18" s="5"/>
      <c r="O18" s="5"/>
      <c r="P18" s="5"/>
    </row>
    <row r="19" spans="1:23" s="13" customFormat="1" ht="25.5" customHeight="1">
      <c r="B19" s="5"/>
      <c r="C19" s="5"/>
      <c r="D19" s="5"/>
      <c r="E19" s="5"/>
      <c r="F19" s="5"/>
    </row>
    <row r="20" spans="1:23" ht="17.25" customHeight="1">
      <c r="B20" s="268"/>
      <c r="C20" s="268"/>
      <c r="D20" s="268"/>
      <c r="E20" s="270"/>
      <c r="F20" s="270"/>
      <c r="M20" s="5"/>
      <c r="N20" s="5"/>
      <c r="O20" s="5"/>
      <c r="P20" s="5"/>
    </row>
    <row r="21" spans="1:23" s="13" customFormat="1" ht="25.5" customHeight="1">
      <c r="B21" s="5"/>
      <c r="C21" s="5"/>
      <c r="D21" s="5"/>
      <c r="E21" s="5"/>
      <c r="F21" s="5"/>
    </row>
    <row r="22" spans="1:23" ht="17.25" customHeight="1">
      <c r="B22" s="268"/>
      <c r="C22" s="268"/>
      <c r="D22" s="268"/>
      <c r="E22" s="270"/>
      <c r="F22" s="270"/>
      <c r="M22" s="5"/>
      <c r="N22" s="5"/>
      <c r="O22" s="5"/>
      <c r="P22" s="5"/>
    </row>
    <row r="23" spans="1:23">
      <c r="B23" s="441" t="s">
        <v>269</v>
      </c>
      <c r="C23" s="441"/>
      <c r="D23" s="441"/>
      <c r="E23" s="441"/>
      <c r="F23" s="441"/>
      <c r="G23" s="441"/>
      <c r="H23" s="441"/>
      <c r="I23" s="441"/>
      <c r="J23" s="441"/>
      <c r="K23" s="441"/>
      <c r="M23" s="5"/>
      <c r="N23" s="5"/>
      <c r="O23" s="5"/>
      <c r="P23" s="5"/>
    </row>
    <row r="24" spans="1:23">
      <c r="M24" s="5"/>
      <c r="N24" s="5"/>
      <c r="O24" s="5"/>
    </row>
    <row r="25" spans="1:23">
      <c r="M25" s="5"/>
      <c r="N25" s="5"/>
      <c r="O25" s="5"/>
    </row>
    <row r="26" spans="1:23">
      <c r="M26" s="5"/>
      <c r="N26" s="5"/>
      <c r="O26" s="5"/>
    </row>
    <row r="27" spans="1:23">
      <c r="N27" s="5"/>
      <c r="O27" s="5"/>
      <c r="S27" s="6"/>
    </row>
    <row r="28" spans="1:23" s="4" customFormat="1">
      <c r="A28" s="5"/>
      <c r="B28" s="5"/>
      <c r="C28" s="5"/>
      <c r="D28" s="5"/>
      <c r="E28" s="5"/>
      <c r="F28" s="5"/>
      <c r="G28" s="5"/>
      <c r="H28" s="5"/>
      <c r="I28" s="5"/>
      <c r="J28" s="5"/>
      <c r="K28" s="5"/>
      <c r="L28" s="5"/>
      <c r="N28" s="5"/>
      <c r="O28" s="5"/>
      <c r="Q28" s="5"/>
      <c r="R28" s="5"/>
      <c r="S28" s="5"/>
      <c r="T28" s="5"/>
      <c r="U28" s="5"/>
      <c r="V28" s="5"/>
      <c r="W28" s="5"/>
    </row>
    <row r="29" spans="1:23" s="4" customFormat="1">
      <c r="A29" s="5"/>
      <c r="B29" s="5"/>
      <c r="C29" s="5"/>
      <c r="D29" s="5"/>
      <c r="E29" s="5"/>
      <c r="F29" s="5"/>
      <c r="G29" s="5"/>
      <c r="H29" s="5"/>
      <c r="I29" s="5"/>
      <c r="J29" s="5"/>
      <c r="K29" s="5"/>
      <c r="L29" s="5"/>
      <c r="N29" s="5"/>
      <c r="O29" s="5"/>
      <c r="Q29" s="5"/>
      <c r="R29" s="5"/>
      <c r="S29" s="5"/>
      <c r="T29" s="5"/>
      <c r="U29" s="5"/>
      <c r="V29" s="5"/>
      <c r="W29" s="5"/>
    </row>
    <row r="30" spans="1:23" s="4" customFormat="1">
      <c r="A30" s="5"/>
      <c r="B30" s="5"/>
      <c r="C30" s="5"/>
      <c r="D30" s="5"/>
      <c r="E30" s="5"/>
      <c r="F30" s="5"/>
      <c r="G30" s="5"/>
      <c r="H30" s="5"/>
      <c r="I30" s="5"/>
      <c r="J30" s="5"/>
      <c r="K30" s="5"/>
      <c r="L30" s="5"/>
      <c r="N30" s="5"/>
      <c r="O30" s="5"/>
      <c r="Q30" s="5"/>
      <c r="R30" s="5"/>
      <c r="S30" s="5"/>
      <c r="T30" s="5"/>
      <c r="U30" s="5"/>
      <c r="V30" s="5"/>
      <c r="W30" s="5"/>
    </row>
    <row r="31" spans="1:23" s="4" customFormat="1">
      <c r="A31" s="5"/>
      <c r="B31" s="5"/>
      <c r="C31" s="5"/>
      <c r="D31" s="5"/>
      <c r="E31" s="5"/>
      <c r="F31" s="5"/>
      <c r="G31" s="5"/>
      <c r="H31" s="5"/>
      <c r="I31" s="5"/>
      <c r="J31" s="5"/>
      <c r="K31" s="5"/>
      <c r="L31" s="5"/>
      <c r="N31" s="5"/>
      <c r="O31" s="5"/>
      <c r="Q31" s="5"/>
      <c r="R31" s="5"/>
      <c r="S31" s="5"/>
      <c r="T31" s="5"/>
      <c r="U31" s="5"/>
      <c r="V31" s="5"/>
      <c r="W31" s="5"/>
    </row>
    <row r="32" spans="1:23" s="4" customFormat="1">
      <c r="A32" s="5"/>
      <c r="B32" s="5"/>
      <c r="C32" s="5"/>
      <c r="D32" s="5"/>
      <c r="E32" s="5"/>
      <c r="F32" s="5"/>
      <c r="G32" s="5"/>
      <c r="H32" s="5"/>
      <c r="I32" s="5"/>
      <c r="J32" s="5"/>
      <c r="K32" s="5"/>
      <c r="L32" s="5"/>
      <c r="N32" s="5"/>
      <c r="O32" s="5"/>
      <c r="Q32" s="5"/>
      <c r="R32" s="5"/>
      <c r="S32" s="5"/>
      <c r="T32" s="5"/>
      <c r="U32" s="5"/>
      <c r="V32" s="5"/>
      <c r="W32" s="5"/>
    </row>
  </sheetData>
  <sheetProtection algorithmName="SHA-512" hashValue="arDtP65PfMbtrsihMTUAFr+73a7u3WoaSKEZj74H2rdJruGvbgCUDgZXNY4QosAMWSDHKE4WjHDwLCW7v1/wJQ==" saltValue="D5byGsKmNWt19UvM1o7zyw==" spinCount="100000" sheet="1" objects="1" scenarios="1"/>
  <mergeCells count="7">
    <mergeCell ref="Q1:R3"/>
    <mergeCell ref="T1:U3"/>
    <mergeCell ref="B23:K23"/>
    <mergeCell ref="C1:D3"/>
    <mergeCell ref="H1:I3"/>
    <mergeCell ref="K1:L3"/>
    <mergeCell ref="N1:O3"/>
  </mergeCells>
  <dataValidations count="3">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1" xr:uid="{00000000-0002-0000-0D00-000000000000}">
      <formula1>0</formula1>
    </dataValidation>
    <dataValidation type="list" allowBlank="1" showInputMessage="1" showErrorMessage="1" errorTitle="Garage im Kaufpreis enthalten?" error="Bitte wähle entweder Ja oder Nein aus der Dropdown Liste aus. Klicke hierzu auf den kleinen Pfeil neben dem Eingabefeld." promptTitle="Garage im Kaufpreis enthalten?" prompt="Ist im Kaufpreis eine Garage oder ein Tiefgaragenstellplatz enthalten? Dies hat einen Einfluss auf die Steuer-Kalkulation." sqref="E10" xr:uid="{00000000-0002-0000-0D00-000001000000}">
      <formula1>"Ja,Nein"</formula1>
    </dataValidation>
    <dataValidation type="list" allowBlank="1" showInputMessage="1" showErrorMessage="1" errorTitle="Baujahr des Hauses" error="Bitte wähle einen Wert aus der Dropdown Liste aus. Klicke hierzu auf den kleinen Pfeil neben dem Eingabefeld." promptTitle="Baujahr des Hauses" prompt="Wann wurde das Haus, in dem die Wohnung liegt, ca. gebaut?" sqref="E8" xr:uid="{00000000-0002-0000-0D00-000002000000}">
      <formula1>"vor 1925,1925-1950,1951-1960,1961-1970,1971-1980,1981-1990,1991-2000,2001-2010,ab 2010"</formula1>
    </dataValidation>
  </dataValidations>
  <hyperlinks>
    <hyperlink ref="B23" location="Deckblatt!A1" display="Keine Gewähr für die Richtigkeit der Angaben. Dieses Tool ersetzt keine fundierte Rechts-, Steuer- oder Finanzberatung. Mehr Details hier." xr:uid="{00000000-0004-0000-0D00-000000000000}"/>
  </hyperlinks>
  <pageMargins left="0.25" right="0.25" top="0.75" bottom="0.75" header="0.3" footer="0.3"/>
  <pageSetup paperSize="9" scale="73"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3"/>
    <pageSetUpPr fitToPage="1"/>
  </sheetPr>
  <dimension ref="A1:W31"/>
  <sheetViews>
    <sheetView showGridLines="0" showRowColHeaders="0" zoomScaleNormal="100" workbookViewId="0">
      <pane ySplit="6" topLeftCell="A7" activePane="bottomLeft" state="frozen"/>
      <selection activeCell="D31" sqref="D31"/>
      <selection pane="bottomLeft" activeCell="E10" sqref="E10"/>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12" width="11.33203125" style="5" customWidth="1"/>
    <col min="13" max="16" width="11.33203125" style="4" customWidth="1"/>
    <col min="17" max="21" width="11.33203125" style="5" customWidth="1"/>
    <col min="22" max="22" width="27.5" style="5" customWidth="1"/>
    <col min="23" max="24" width="11.33203125" style="5" customWidth="1"/>
    <col min="25" max="16384" width="9.1640625" style="5"/>
  </cols>
  <sheetData>
    <row r="1" spans="1:23" s="113" customFormat="1" ht="12.75" customHeight="1">
      <c r="A1" s="109"/>
      <c r="C1" s="442" t="s">
        <v>278</v>
      </c>
      <c r="D1" s="442"/>
      <c r="H1" s="430"/>
      <c r="I1" s="430"/>
      <c r="J1" s="111"/>
      <c r="K1" s="443"/>
      <c r="L1" s="443"/>
      <c r="M1" s="112"/>
      <c r="N1" s="430"/>
      <c r="O1" s="430"/>
      <c r="P1" s="112"/>
      <c r="Q1" s="437"/>
      <c r="R1" s="437"/>
      <c r="T1" s="430"/>
      <c r="U1" s="430"/>
    </row>
    <row r="2" spans="1:23" s="113" customFormat="1" ht="15" customHeight="1">
      <c r="A2" s="109"/>
      <c r="C2" s="442"/>
      <c r="D2" s="442"/>
      <c r="H2" s="430"/>
      <c r="I2" s="430"/>
      <c r="J2" s="111"/>
      <c r="K2" s="443"/>
      <c r="L2" s="443"/>
      <c r="M2" s="112"/>
      <c r="N2" s="430"/>
      <c r="O2" s="430"/>
      <c r="P2" s="112"/>
      <c r="Q2" s="437"/>
      <c r="R2" s="437"/>
      <c r="T2" s="430"/>
      <c r="U2" s="430"/>
    </row>
    <row r="3" spans="1:23" s="113" customFormat="1" ht="12.75" customHeight="1">
      <c r="A3" s="109"/>
      <c r="C3" s="442"/>
      <c r="D3" s="442"/>
      <c r="H3" s="430"/>
      <c r="I3" s="430"/>
      <c r="J3" s="111"/>
      <c r="K3" s="443"/>
      <c r="L3" s="443"/>
      <c r="M3" s="112"/>
      <c r="N3" s="430"/>
      <c r="O3" s="430"/>
      <c r="P3" s="112"/>
      <c r="Q3" s="437"/>
      <c r="R3" s="437"/>
      <c r="T3" s="430"/>
      <c r="U3" s="430"/>
    </row>
    <row r="4" spans="1:23" s="271" customFormat="1" ht="18.75" customHeight="1">
      <c r="W4" s="279"/>
    </row>
    <row r="5" spans="1:23" s="271" customFormat="1" ht="18.75" customHeight="1">
      <c r="H5" s="272"/>
      <c r="S5" s="273"/>
      <c r="U5" s="272"/>
    </row>
    <row r="6" spans="1:23" s="274" customFormat="1" ht="30" customHeight="1"/>
    <row r="7" spans="1:23" ht="21.75" customHeight="1"/>
    <row r="8" spans="1:23" s="13" customFormat="1" ht="25.5" customHeight="1">
      <c r="B8" s="265" t="s">
        <v>345</v>
      </c>
      <c r="C8" s="5"/>
      <c r="D8" s="449"/>
      <c r="E8" s="450"/>
      <c r="G8" s="295"/>
      <c r="H8" s="295"/>
    </row>
    <row r="9" spans="1:23" ht="16">
      <c r="B9" s="293"/>
      <c r="C9" s="268"/>
      <c r="D9" s="268"/>
      <c r="E9" s="270"/>
      <c r="F9" s="270"/>
      <c r="M9" s="5"/>
      <c r="N9" s="5"/>
      <c r="O9" s="5"/>
      <c r="P9" s="5"/>
      <c r="T9" s="312"/>
    </row>
    <row r="10" spans="1:23" ht="25.5" customHeight="1">
      <c r="B10" s="265" t="s">
        <v>344</v>
      </c>
      <c r="E10" s="317"/>
      <c r="F10" s="270"/>
      <c r="M10" s="5"/>
      <c r="N10" s="5"/>
      <c r="O10" s="5"/>
      <c r="P10" s="5"/>
    </row>
    <row r="11" spans="1:23" s="13" customFormat="1" ht="16">
      <c r="B11" s="268"/>
      <c r="C11" s="268"/>
      <c r="D11" s="270"/>
      <c r="E11" s="270"/>
      <c r="F11" s="278"/>
      <c r="I11" s="5"/>
    </row>
    <row r="12" spans="1:23" ht="25.5" customHeight="1">
      <c r="B12" s="265" t="s">
        <v>346</v>
      </c>
      <c r="C12" s="266"/>
      <c r="D12" s="268"/>
      <c r="E12" s="318"/>
      <c r="F12" s="270"/>
      <c r="M12" s="5"/>
      <c r="N12" s="5"/>
      <c r="O12" s="5"/>
      <c r="P12" s="5"/>
    </row>
    <row r="13" spans="1:23" ht="16">
      <c r="B13" s="265"/>
      <c r="C13" s="266"/>
      <c r="D13" s="268"/>
      <c r="E13" s="301"/>
      <c r="F13" s="270"/>
      <c r="M13" s="5"/>
      <c r="N13" s="5"/>
      <c r="O13" s="5"/>
      <c r="P13" s="5"/>
    </row>
    <row r="14" spans="1:23" s="13" customFormat="1" ht="25.5" customHeight="1">
      <c r="B14" s="265" t="s">
        <v>347</v>
      </c>
      <c r="C14" s="266"/>
      <c r="D14" s="268"/>
      <c r="E14" s="402">
        <f>ekst_rf!C39</f>
        <v>0</v>
      </c>
      <c r="F14" s="270"/>
      <c r="I14" s="298" t="str">
        <f>CONCATENATE("Auf deine Mieteinnahmen zahlst du rechnerisch pro Monat circa ",ROUND(Cockpit!Q34,0)," € Steuern. ")</f>
        <v xml:space="preserve">Auf deine Mieteinnahmen zahlst du rechnerisch pro Monat circa 0 € Steuern. </v>
      </c>
    </row>
    <row r="15" spans="1:23" ht="16">
      <c r="B15" s="268"/>
      <c r="C15" s="268"/>
      <c r="D15" s="268"/>
      <c r="E15" s="270"/>
      <c r="F15" s="270"/>
      <c r="M15" s="5"/>
      <c r="N15" s="5"/>
      <c r="O15" s="5"/>
      <c r="P15" s="5"/>
    </row>
    <row r="16" spans="1:23" ht="25.5" customHeight="1">
      <c r="B16" s="265" t="s">
        <v>343</v>
      </c>
      <c r="C16" s="266"/>
      <c r="D16" s="268"/>
      <c r="E16" s="397">
        <f>Cockpit!Q34</f>
        <v>0</v>
      </c>
      <c r="F16" s="270"/>
      <c r="H16" s="298" t="s">
        <v>315</v>
      </c>
      <c r="I16" s="298" t="str">
        <f>CONCATENATE("Die Steuern ergeben sich, indem du von deinen Mieteinnahmen (",ROUND(Cockpit!H9,0)," €) die nicht umlagefähigen Bewirtschaftungskosten ohne Rücklagen (",ROUND(Cockpit!K29-Cockpit!K26-Cockpit!K27,0)," €), die Zinsen (",ROUND(Cockpit!Q30*-1,0)," €) und die Abschreibung (",ROUND(Cockpit!Q31*-1,0)," €) abziehst.")</f>
        <v>Die Steuern ergeben sich, indem du von deinen Mieteinnahmen (0 €) die nicht umlagefähigen Bewirtschaftungskosten ohne Rücklagen (0 €), die Zinsen (0 €) und die Abschreibung (0 €) abziehst.</v>
      </c>
      <c r="K16"/>
      <c r="M16" s="5"/>
      <c r="N16" s="5"/>
      <c r="O16" s="5"/>
      <c r="P16" s="5"/>
    </row>
    <row r="17" spans="1:23" s="13" customFormat="1" ht="25.5" customHeight="1">
      <c r="B17" s="5"/>
      <c r="C17" s="268"/>
      <c r="D17" s="268"/>
      <c r="E17" s="268"/>
      <c r="F17" s="270"/>
      <c r="I17" s="298" t="str">
        <f>CONCATENATE("Was übrig bleibt (",ROUND(Cockpit!Q32,0)," €), multiplizierst du mit deinem Grenzsteuersatz: ",ROUND(Cockpit!Q32,0)," € * ",ROUND(Cockpit!Q33*100,0),"% = ",ROUND(Cockpit!Q34,0)," € Steuern.")</f>
        <v>Was übrig bleibt (0 €), multiplizierst du mit deinem Grenzsteuersatz: 0 € * 0% = 0 € Steuern.</v>
      </c>
    </row>
    <row r="18" spans="1:23" ht="11.25" customHeight="1">
      <c r="B18" s="268"/>
      <c r="C18" s="268"/>
      <c r="D18" s="268"/>
      <c r="E18" s="270"/>
      <c r="F18" s="270"/>
      <c r="M18" s="5"/>
      <c r="N18" s="5"/>
      <c r="O18" s="5"/>
      <c r="P18" s="5"/>
    </row>
    <row r="19" spans="1:23" s="13" customFormat="1" ht="25.5" customHeight="1">
      <c r="B19" s="5"/>
      <c r="C19" s="5"/>
      <c r="D19" s="5"/>
      <c r="E19" s="5"/>
      <c r="F19" s="5"/>
    </row>
    <row r="20" spans="1:23" ht="17.25" customHeight="1">
      <c r="B20" s="268"/>
      <c r="C20" s="268"/>
      <c r="D20" s="268"/>
      <c r="E20" s="270"/>
      <c r="F20" s="270"/>
      <c r="M20" s="5"/>
      <c r="N20" s="5"/>
      <c r="O20" s="5"/>
      <c r="P20" s="5"/>
    </row>
    <row r="21" spans="1:23" s="13" customFormat="1" ht="25.5" customHeight="1">
      <c r="B21" s="5"/>
      <c r="C21" s="5"/>
      <c r="D21" s="5"/>
      <c r="E21" s="5"/>
      <c r="F21" s="5"/>
    </row>
    <row r="22" spans="1:23">
      <c r="B22" s="441" t="s">
        <v>269</v>
      </c>
      <c r="C22" s="441"/>
      <c r="D22" s="441"/>
      <c r="E22" s="441"/>
      <c r="F22" s="441"/>
      <c r="G22" s="441"/>
      <c r="H22" s="441"/>
      <c r="I22" s="441"/>
      <c r="J22" s="441"/>
      <c r="K22" s="441"/>
      <c r="M22" s="5"/>
      <c r="N22" s="5"/>
      <c r="O22" s="5"/>
      <c r="P22" s="5"/>
    </row>
    <row r="23" spans="1:23">
      <c r="M23" s="5"/>
      <c r="N23" s="5"/>
      <c r="O23" s="5"/>
    </row>
    <row r="24" spans="1:23">
      <c r="M24" s="5"/>
      <c r="N24" s="5"/>
      <c r="O24" s="5"/>
    </row>
    <row r="25" spans="1:23">
      <c r="M25" s="5"/>
      <c r="N25" s="5"/>
      <c r="O25" s="5"/>
    </row>
    <row r="26" spans="1:23">
      <c r="N26" s="5"/>
      <c r="O26" s="5"/>
      <c r="S26" s="6"/>
    </row>
    <row r="27" spans="1:23" s="4" customFormat="1">
      <c r="A27" s="5"/>
      <c r="B27" s="5"/>
      <c r="C27" s="5"/>
      <c r="D27" s="5"/>
      <c r="E27" s="5"/>
      <c r="F27" s="5"/>
      <c r="G27" s="5"/>
      <c r="H27" s="5"/>
      <c r="I27" s="5"/>
      <c r="J27" s="5"/>
      <c r="K27" s="5"/>
      <c r="L27" s="5"/>
      <c r="N27" s="5"/>
      <c r="O27" s="5"/>
      <c r="Q27" s="5"/>
      <c r="R27" s="5"/>
      <c r="S27" s="5"/>
      <c r="T27" s="5"/>
      <c r="U27" s="5"/>
      <c r="V27" s="5"/>
      <c r="W27" s="5"/>
    </row>
    <row r="28" spans="1:23" s="4" customFormat="1">
      <c r="A28" s="5"/>
      <c r="B28" s="5"/>
      <c r="C28" s="5"/>
      <c r="D28" s="5"/>
      <c r="E28" s="5"/>
      <c r="F28" s="5"/>
      <c r="G28" s="5"/>
      <c r="H28" s="5"/>
      <c r="I28" s="5"/>
      <c r="J28" s="5"/>
      <c r="K28" s="5"/>
      <c r="L28" s="5"/>
      <c r="N28" s="5"/>
      <c r="O28" s="5"/>
      <c r="Q28" s="5"/>
      <c r="R28" s="5"/>
      <c r="S28" s="5"/>
      <c r="T28" s="5"/>
      <c r="U28" s="5"/>
      <c r="V28" s="5"/>
      <c r="W28" s="5"/>
    </row>
    <row r="29" spans="1:23" s="4" customFormat="1">
      <c r="A29" s="5"/>
      <c r="B29" s="5"/>
      <c r="C29" s="5"/>
      <c r="D29" s="5"/>
      <c r="E29" s="5"/>
      <c r="F29" s="5"/>
      <c r="G29" s="5"/>
      <c r="H29" s="5"/>
      <c r="I29" s="5"/>
      <c r="J29" s="5"/>
      <c r="K29" s="5"/>
      <c r="L29" s="5"/>
      <c r="N29" s="5"/>
      <c r="O29" s="5"/>
      <c r="Q29" s="5"/>
      <c r="R29" s="5"/>
      <c r="S29" s="5"/>
      <c r="T29" s="5"/>
      <c r="U29" s="5"/>
      <c r="V29" s="5"/>
      <c r="W29" s="5"/>
    </row>
    <row r="30" spans="1:23" s="4" customFormat="1">
      <c r="A30" s="5"/>
      <c r="B30" s="5"/>
      <c r="C30" s="5"/>
      <c r="D30" s="5"/>
      <c r="E30" s="5"/>
      <c r="F30" s="5"/>
      <c r="G30" s="5"/>
      <c r="H30" s="5"/>
      <c r="I30" s="5"/>
      <c r="J30" s="5"/>
      <c r="K30" s="5"/>
      <c r="L30" s="5"/>
      <c r="N30" s="5"/>
      <c r="O30" s="5"/>
      <c r="Q30" s="5"/>
      <c r="R30" s="5"/>
      <c r="S30" s="5"/>
      <c r="T30" s="5"/>
      <c r="U30" s="5"/>
      <c r="V30" s="5"/>
      <c r="W30" s="5"/>
    </row>
    <row r="31" spans="1:23" s="4" customFormat="1">
      <c r="A31" s="5"/>
      <c r="B31" s="5"/>
      <c r="C31" s="5"/>
      <c r="D31" s="5"/>
      <c r="E31" s="5"/>
      <c r="F31" s="5"/>
      <c r="G31" s="5"/>
      <c r="H31" s="5"/>
      <c r="I31" s="5"/>
      <c r="J31" s="5"/>
      <c r="K31" s="5"/>
      <c r="L31" s="5"/>
      <c r="N31" s="5"/>
      <c r="O31" s="5"/>
      <c r="Q31" s="5"/>
      <c r="R31" s="5"/>
      <c r="S31" s="5"/>
      <c r="T31" s="5"/>
      <c r="U31" s="5"/>
      <c r="V31" s="5"/>
      <c r="W31" s="5"/>
    </row>
  </sheetData>
  <sheetProtection algorithmName="SHA-512" hashValue="Qefylu1c07n98z7mxazU6I3CmrHk3OAj0g6t8cfnXkWfK9AtpCPnOhAHeyal2V6iipISagC0AX8taC8vMICijQ==" saltValue="AT4Y4EPXA0KlpGbq4P6hLw==" spinCount="100000" sheet="1" objects="1" scenarios="1"/>
  <mergeCells count="8">
    <mergeCell ref="N1:O3"/>
    <mergeCell ref="Q1:R3"/>
    <mergeCell ref="T1:U3"/>
    <mergeCell ref="B22:K22"/>
    <mergeCell ref="D8:E8"/>
    <mergeCell ref="C1:D3"/>
    <mergeCell ref="H1:I3"/>
    <mergeCell ref="K1:L3"/>
  </mergeCells>
  <dataValidations count="4">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11" xr:uid="{00000000-0002-0000-0E00-000000000000}">
      <formula1>0</formula1>
    </dataValidation>
    <dataValidation type="list" allowBlank="1" showInputMessage="1" showErrorMessage="1" errorTitle="Kirchensteuer" error="Bitte wähle entweder Ja oder Nein aus der Dropdown Liste aus. Klicke hierzu auf den kleinen Pfeil neben dem Eingabefeld." promptTitle="Kirchensteuer" prompt="Soll bei der Ermittlung die Kirchensteuer berücksichtigt werden?" sqref="E12" xr:uid="{00000000-0002-0000-0E00-000001000000}">
      <formula1>"Ja,Nein"</formula1>
    </dataValidation>
    <dataValidation type="decimal" operator="greaterThanOrEqual" allowBlank="1" showInputMessage="1" showErrorMessage="1" errorTitle="Zu versteuerndes Einkommen" error="Bitte gib das zu versteuernde Einkommen in Euro als positive Zahl ein. Bspw. 40000 für 40.000 Euro." promptTitle="Zu versteuerndes Jahreseinkommen" prompt="Für welches Brutto-Einkommen soll der Grenzsteuersatz berechnet werden? Bei gemeinsamer Veranlagung ist dies das gemeinsame Einkommen. Bitte gib das Jahreseinkommen - und nicht das Monatseinkommen - ein." sqref="E10" xr:uid="{00000000-0002-0000-0E00-000002000000}">
      <formula1>0</formula1>
    </dataValidation>
    <dataValidation type="list" allowBlank="1" showInputMessage="1" showErrorMessage="1" errorTitle="Steuerliche Veranlagung" error="Bitte wähle eine der beiden Optionen aus der Dropdown Liste aus. Klicke hierzu auf den kleinen Pfeil neben dem Eingabefeld." promptTitle="Steuerliche Veranlagung" prompt="Bitte wähle aus, ob du steuerlich alleine oder gemeinsam deiner/m Ehepartner/-in (&quot;Ehegatten-Splitting&quot;) veranlagt wirst." sqref="D8:E8" xr:uid="{00000000-0002-0000-0E00-000003000000}">
      <formula1>"Einzeln,Gemeinsam (verheiratet)"</formula1>
    </dataValidation>
  </dataValidations>
  <hyperlinks>
    <hyperlink ref="B22" location="Deckblatt!A1" display="Keine Gewähr für die Richtigkeit der Angaben. Dieses Tool ersetzt keine fundierte Rechts-, Steuer- oder Finanzberatung. Mehr Details hier." xr:uid="{00000000-0004-0000-0E00-000000000000}"/>
  </hyperlinks>
  <pageMargins left="0.25" right="0.25" top="0.75" bottom="0.75" header="0.3" footer="0.3"/>
  <pageSetup paperSize="9" scale="73" orientation="landscape" r:id="rId1"/>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3"/>
    <pageSetUpPr fitToPage="1"/>
  </sheetPr>
  <dimension ref="A1:X42"/>
  <sheetViews>
    <sheetView showGridLines="0" showRowColHeaders="0" zoomScaleNormal="100" workbookViewId="0">
      <pane ySplit="6" topLeftCell="A7" activePane="bottomLeft" state="frozen"/>
      <selection activeCell="D31" sqref="D31"/>
      <selection pane="bottomLeft" activeCell="U16" sqref="U16"/>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8" width="11.33203125" style="5" customWidth="1"/>
    <col min="9" max="9" width="2.83203125" style="5" customWidth="1"/>
    <col min="10" max="13" width="11.33203125" style="5" customWidth="1"/>
    <col min="14" max="17" width="11.33203125" style="4" customWidth="1"/>
    <col min="18" max="22" width="11.33203125" style="5" customWidth="1"/>
    <col min="23" max="23" width="27.5" style="5" customWidth="1"/>
    <col min="24" max="25" width="11.33203125" style="5" customWidth="1"/>
    <col min="26" max="16384" width="9.1640625" style="5"/>
  </cols>
  <sheetData>
    <row r="1" spans="1:24" s="113" customFormat="1" ht="12.75" customHeight="1">
      <c r="A1" s="109"/>
      <c r="C1" s="442" t="s">
        <v>278</v>
      </c>
      <c r="D1" s="442"/>
      <c r="H1" s="430"/>
      <c r="I1" s="430"/>
      <c r="J1" s="430"/>
      <c r="K1" s="111"/>
      <c r="L1" s="443"/>
      <c r="M1" s="443"/>
      <c r="N1" s="112"/>
      <c r="O1" s="430"/>
      <c r="P1" s="430"/>
      <c r="Q1" s="112"/>
      <c r="R1" s="437"/>
      <c r="S1" s="437"/>
      <c r="U1" s="430"/>
      <c r="V1" s="430"/>
    </row>
    <row r="2" spans="1:24" s="113" customFormat="1" ht="15" customHeight="1">
      <c r="A2" s="109"/>
      <c r="C2" s="442"/>
      <c r="D2" s="442"/>
      <c r="H2" s="430"/>
      <c r="I2" s="430"/>
      <c r="J2" s="430"/>
      <c r="K2" s="111"/>
      <c r="L2" s="443"/>
      <c r="M2" s="443"/>
      <c r="N2" s="112"/>
      <c r="O2" s="430"/>
      <c r="P2" s="430"/>
      <c r="Q2" s="112"/>
      <c r="R2" s="437"/>
      <c r="S2" s="437"/>
      <c r="U2" s="430"/>
      <c r="V2" s="430"/>
    </row>
    <row r="3" spans="1:24" s="113" customFormat="1" ht="12.75" customHeight="1">
      <c r="A3" s="109"/>
      <c r="C3" s="442"/>
      <c r="D3" s="442"/>
      <c r="H3" s="430"/>
      <c r="I3" s="430"/>
      <c r="J3" s="430"/>
      <c r="K3" s="111"/>
      <c r="L3" s="443"/>
      <c r="M3" s="443"/>
      <c r="N3" s="112"/>
      <c r="O3" s="430"/>
      <c r="P3" s="430"/>
      <c r="Q3" s="112"/>
      <c r="R3" s="437"/>
      <c r="S3" s="437"/>
      <c r="U3" s="430"/>
      <c r="V3" s="430"/>
    </row>
    <row r="4" spans="1:24" s="271" customFormat="1" ht="18.75" customHeight="1">
      <c r="X4" s="279"/>
    </row>
    <row r="5" spans="1:24" s="271" customFormat="1" ht="18.75" customHeight="1">
      <c r="H5" s="272"/>
      <c r="I5" s="272"/>
      <c r="T5" s="273"/>
      <c r="V5" s="272"/>
    </row>
    <row r="6" spans="1:24" s="274" customFormat="1" ht="30" customHeight="1"/>
    <row r="7" spans="1:24" ht="21.75" customHeight="1"/>
    <row r="8" spans="1:24" ht="21.75" customHeight="1"/>
    <row r="9" spans="1:24" ht="21.75" customHeight="1"/>
    <row r="10" spans="1:24" ht="21.75" customHeight="1"/>
    <row r="11" spans="1:24" ht="21.75" customHeight="1"/>
    <row r="12" spans="1:24" ht="21.75" customHeight="1"/>
    <row r="13" spans="1:24" ht="21.75" customHeight="1"/>
    <row r="14" spans="1:24" ht="21.75" customHeight="1"/>
    <row r="15" spans="1:24" ht="21.75" customHeight="1"/>
    <row r="16" spans="1:24" ht="21.75" customHeight="1"/>
    <row r="17" spans="2:17" ht="21.75" customHeight="1"/>
    <row r="18" spans="2:17" ht="21.75" customHeight="1"/>
    <row r="19" spans="2:17" ht="21.75" customHeight="1"/>
    <row r="20" spans="2:17" ht="52.5" customHeight="1">
      <c r="B20" s="293"/>
      <c r="C20" s="268"/>
      <c r="D20" s="268"/>
      <c r="E20" s="270"/>
      <c r="F20" s="270"/>
      <c r="N20" s="5"/>
      <c r="O20" s="5"/>
      <c r="P20" s="5"/>
      <c r="Q20" s="5"/>
    </row>
    <row r="21" spans="2:17" ht="15" customHeight="1">
      <c r="B21" s="268"/>
      <c r="C21" s="268"/>
      <c r="D21" s="268"/>
      <c r="E21" s="270"/>
      <c r="F21" s="270"/>
      <c r="N21" s="5"/>
      <c r="O21" s="5"/>
      <c r="P21" s="5"/>
      <c r="Q21" s="5"/>
    </row>
    <row r="22" spans="2:17" s="13" customFormat="1" ht="25.5" customHeight="1">
      <c r="B22" s="268"/>
      <c r="C22" s="268"/>
      <c r="D22" s="270"/>
      <c r="E22" s="270"/>
      <c r="F22" s="278"/>
    </row>
    <row r="23" spans="2:17" ht="52.5" customHeight="1">
      <c r="B23" s="268"/>
      <c r="C23" s="268"/>
      <c r="D23" s="268"/>
      <c r="E23" s="270"/>
      <c r="F23" s="270"/>
      <c r="N23" s="5"/>
      <c r="O23" s="5"/>
      <c r="P23" s="5"/>
      <c r="Q23" s="5"/>
    </row>
    <row r="24" spans="2:17" s="13" customFormat="1" ht="25.5" customHeight="1">
      <c r="B24" s="268"/>
      <c r="C24" s="268"/>
      <c r="D24" s="268"/>
      <c r="E24" s="270"/>
      <c r="F24" s="270"/>
    </row>
    <row r="25" spans="2:17" ht="16">
      <c r="B25" s="268"/>
      <c r="C25" s="268"/>
      <c r="D25" s="268"/>
      <c r="E25" s="270"/>
      <c r="F25" s="270"/>
      <c r="N25" s="5"/>
      <c r="O25" s="5"/>
      <c r="P25" s="5"/>
      <c r="Q25" s="5"/>
    </row>
    <row r="26" spans="2:17" ht="36.75" customHeight="1">
      <c r="L26"/>
      <c r="N26" s="5"/>
      <c r="O26" s="5"/>
      <c r="P26" s="5"/>
      <c r="Q26" s="5"/>
    </row>
    <row r="27" spans="2:17" s="13" customFormat="1" ht="25.5" customHeight="1">
      <c r="B27" s="5"/>
      <c r="C27" s="268"/>
      <c r="D27" s="268"/>
      <c r="E27" s="268"/>
      <c r="F27" s="270"/>
    </row>
    <row r="28" spans="2:17" s="13" customFormat="1" ht="25.5" customHeight="1">
      <c r="B28" s="5"/>
      <c r="C28" s="268"/>
      <c r="D28" s="268"/>
      <c r="E28" s="268"/>
      <c r="F28" s="270"/>
    </row>
    <row r="29" spans="2:17" s="13" customFormat="1" ht="25.5" customHeight="1">
      <c r="B29" s="5"/>
      <c r="C29" s="268"/>
      <c r="D29" s="268"/>
      <c r="E29" s="268"/>
      <c r="F29" s="270"/>
    </row>
    <row r="30" spans="2:17" s="13" customFormat="1" ht="25.5" customHeight="1">
      <c r="B30" s="5"/>
      <c r="C30" s="268"/>
      <c r="D30" s="268"/>
      <c r="E30" s="268"/>
      <c r="F30" s="270"/>
    </row>
    <row r="31" spans="2:17" s="13" customFormat="1" ht="25.5" customHeight="1">
      <c r="B31" s="5"/>
      <c r="C31" s="268"/>
      <c r="D31" s="268"/>
      <c r="E31" s="268"/>
      <c r="F31" s="270"/>
    </row>
    <row r="32" spans="2:17">
      <c r="N32" s="5"/>
      <c r="O32" s="5"/>
      <c r="P32" s="5"/>
      <c r="Q32" s="5"/>
    </row>
    <row r="33" spans="1:24">
      <c r="B33" s="441" t="s">
        <v>269</v>
      </c>
      <c r="C33" s="441"/>
      <c r="D33" s="441"/>
      <c r="E33" s="441"/>
      <c r="F33" s="441"/>
      <c r="G33" s="441"/>
      <c r="H33" s="441"/>
      <c r="I33" s="441"/>
      <c r="J33" s="441"/>
      <c r="K33" s="441"/>
      <c r="L33" s="441"/>
      <c r="N33" s="5"/>
      <c r="O33" s="5"/>
      <c r="P33" s="5"/>
      <c r="Q33" s="5"/>
    </row>
    <row r="34" spans="1:24">
      <c r="N34" s="5"/>
      <c r="O34" s="5"/>
      <c r="P34" s="5"/>
    </row>
    <row r="35" spans="1:24">
      <c r="N35" s="5"/>
      <c r="O35" s="5"/>
      <c r="P35" s="5"/>
    </row>
    <row r="36" spans="1:24">
      <c r="N36" s="5"/>
      <c r="O36" s="5"/>
      <c r="P36" s="5"/>
    </row>
    <row r="37" spans="1:24">
      <c r="O37" s="5"/>
      <c r="P37" s="5"/>
      <c r="T37" s="6"/>
    </row>
    <row r="38" spans="1:24" s="4" customFormat="1">
      <c r="A38" s="5"/>
      <c r="B38" s="5"/>
      <c r="C38" s="5"/>
      <c r="D38" s="5"/>
      <c r="E38" s="5"/>
      <c r="F38" s="5"/>
      <c r="G38" s="5"/>
      <c r="H38" s="5"/>
      <c r="I38" s="5"/>
      <c r="J38" s="5"/>
      <c r="K38" s="5"/>
      <c r="L38" s="5"/>
      <c r="M38" s="5"/>
      <c r="O38" s="5"/>
      <c r="P38" s="5"/>
      <c r="R38" s="5"/>
      <c r="S38" s="5"/>
      <c r="T38" s="5"/>
      <c r="U38" s="5"/>
      <c r="V38" s="5"/>
      <c r="W38" s="5"/>
      <c r="X38" s="5"/>
    </row>
    <row r="39" spans="1:24" s="4" customFormat="1">
      <c r="A39" s="5"/>
      <c r="B39" s="5"/>
      <c r="C39" s="5"/>
      <c r="D39" s="5"/>
      <c r="E39" s="5"/>
      <c r="F39" s="5"/>
      <c r="G39" s="5"/>
      <c r="H39" s="5"/>
      <c r="I39" s="5"/>
      <c r="J39" s="5"/>
      <c r="K39" s="5"/>
      <c r="L39" s="5"/>
      <c r="M39" s="5"/>
      <c r="O39" s="5"/>
      <c r="P39" s="5"/>
      <c r="R39" s="5"/>
      <c r="S39" s="5"/>
      <c r="T39" s="5"/>
      <c r="U39" s="5"/>
      <c r="V39" s="5"/>
      <c r="W39" s="5"/>
      <c r="X39" s="5"/>
    </row>
    <row r="40" spans="1:24" s="4" customFormat="1">
      <c r="A40" s="5"/>
      <c r="B40" s="5"/>
      <c r="C40" s="5"/>
      <c r="D40" s="5"/>
      <c r="E40" s="5"/>
      <c r="F40" s="5"/>
      <c r="G40" s="5"/>
      <c r="H40" s="5"/>
      <c r="I40" s="5"/>
      <c r="J40" s="5"/>
      <c r="K40" s="5"/>
      <c r="L40" s="5"/>
      <c r="M40" s="5"/>
      <c r="O40" s="5"/>
      <c r="P40" s="5"/>
      <c r="R40" s="5"/>
      <c r="S40" s="5"/>
      <c r="T40" s="5"/>
      <c r="U40" s="5"/>
      <c r="V40" s="5"/>
      <c r="W40" s="5"/>
      <c r="X40" s="5"/>
    </row>
    <row r="41" spans="1:24" s="4" customFormat="1">
      <c r="A41" s="5"/>
      <c r="B41" s="5"/>
      <c r="C41" s="5"/>
      <c r="D41" s="5"/>
      <c r="E41" s="5"/>
      <c r="F41" s="5"/>
      <c r="G41" s="5"/>
      <c r="H41" s="5"/>
      <c r="I41" s="5"/>
      <c r="J41" s="5"/>
      <c r="K41" s="5"/>
      <c r="L41" s="5"/>
      <c r="M41" s="5"/>
      <c r="O41" s="5"/>
      <c r="P41" s="5"/>
      <c r="R41" s="5"/>
      <c r="S41" s="5"/>
      <c r="T41" s="5"/>
      <c r="U41" s="5"/>
      <c r="V41" s="5"/>
      <c r="W41" s="5"/>
      <c r="X41" s="5"/>
    </row>
    <row r="42" spans="1:24" s="4" customFormat="1">
      <c r="A42" s="5"/>
      <c r="B42" s="5"/>
      <c r="C42" s="5"/>
      <c r="D42" s="5"/>
      <c r="E42" s="5"/>
      <c r="F42" s="5"/>
      <c r="G42" s="5"/>
      <c r="H42" s="5"/>
      <c r="I42" s="5"/>
      <c r="J42" s="5"/>
      <c r="K42" s="5"/>
      <c r="L42" s="5"/>
      <c r="M42" s="5"/>
      <c r="O42" s="5"/>
      <c r="P42" s="5"/>
      <c r="R42" s="5"/>
      <c r="S42" s="5"/>
      <c r="T42" s="5"/>
      <c r="U42" s="5"/>
      <c r="V42" s="5"/>
      <c r="W42" s="5"/>
      <c r="X42" s="5"/>
    </row>
  </sheetData>
  <sheetProtection algorithmName="SHA-512" hashValue="Tg6abrSUVqdkw8UMhUFbhvubu9P7izaN9Wro0aavabQ72hOefgAv0Keo5rdhYvreisym1pbBG8WwUHC1SjPfqg==" saltValue="P5znG8cNuuOoxclFxgjc2g==" spinCount="100000" sheet="1" objects="1" scenarios="1"/>
  <mergeCells count="7">
    <mergeCell ref="U1:V3"/>
    <mergeCell ref="B33:L33"/>
    <mergeCell ref="C1:D3"/>
    <mergeCell ref="H1:J3"/>
    <mergeCell ref="L1:M3"/>
    <mergeCell ref="O1:P3"/>
    <mergeCell ref="R1:S3"/>
  </mergeCells>
  <dataValidations count="1">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22" xr:uid="{00000000-0002-0000-0F00-000000000000}">
      <formula1>0</formula1>
    </dataValidation>
  </dataValidations>
  <hyperlinks>
    <hyperlink ref="B33" location="Deckblatt!A1" display="Keine Gewähr für die Richtigkeit der Angaben. Dieses Tool ersetzt keine fundierte Rechts-, Steuer- oder Finanzberatung. Mehr Details hier." xr:uid="{00000000-0004-0000-0F00-000000000000}"/>
  </hyperlinks>
  <pageMargins left="0.25" right="0.25" top="0.75" bottom="0.75" header="0.3" footer="0.3"/>
  <pageSetup paperSize="9" scale="73" orientation="landscape" r:id="rId1"/>
  <drawing r:id="rId2"/>
  <legacy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3"/>
    <pageSetUpPr fitToPage="1"/>
  </sheetPr>
  <dimension ref="A1:X35"/>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8" width="11.33203125" style="5" customWidth="1"/>
    <col min="9" max="9" width="2.83203125" style="5" customWidth="1"/>
    <col min="10" max="13" width="11.33203125" style="5" customWidth="1"/>
    <col min="14" max="17" width="11.33203125" style="4" customWidth="1"/>
    <col min="18" max="22" width="11.33203125" style="5" customWidth="1"/>
    <col min="23" max="23" width="27.5" style="5" customWidth="1"/>
    <col min="24" max="25" width="11.33203125" style="5" customWidth="1"/>
    <col min="26" max="16384" width="9.1640625" style="5"/>
  </cols>
  <sheetData>
    <row r="1" spans="1:24" s="113" customFormat="1" ht="12.75" customHeight="1">
      <c r="A1" s="109"/>
      <c r="C1" s="442" t="s">
        <v>278</v>
      </c>
      <c r="D1" s="442"/>
      <c r="H1" s="430"/>
      <c r="I1" s="430"/>
      <c r="J1" s="430"/>
      <c r="K1" s="111"/>
      <c r="L1" s="443"/>
      <c r="M1" s="443"/>
      <c r="N1" s="112"/>
      <c r="O1" s="430"/>
      <c r="P1" s="430"/>
      <c r="Q1" s="112"/>
      <c r="R1" s="437"/>
      <c r="S1" s="437"/>
      <c r="U1" s="430"/>
      <c r="V1" s="430"/>
    </row>
    <row r="2" spans="1:24" s="113" customFormat="1" ht="15" customHeight="1">
      <c r="A2" s="109"/>
      <c r="C2" s="442"/>
      <c r="D2" s="442"/>
      <c r="H2" s="430"/>
      <c r="I2" s="430"/>
      <c r="J2" s="430"/>
      <c r="K2" s="111"/>
      <c r="L2" s="443"/>
      <c r="M2" s="443"/>
      <c r="N2" s="112"/>
      <c r="O2" s="430"/>
      <c r="P2" s="430"/>
      <c r="Q2" s="112"/>
      <c r="R2" s="437"/>
      <c r="S2" s="437"/>
      <c r="U2" s="430"/>
      <c r="V2" s="430"/>
    </row>
    <row r="3" spans="1:24" s="113" customFormat="1" ht="12.75" customHeight="1">
      <c r="A3" s="109"/>
      <c r="C3" s="442"/>
      <c r="D3" s="442"/>
      <c r="H3" s="430"/>
      <c r="I3" s="430"/>
      <c r="J3" s="430"/>
      <c r="K3" s="111"/>
      <c r="L3" s="443"/>
      <c r="M3" s="443"/>
      <c r="N3" s="112"/>
      <c r="O3" s="430"/>
      <c r="P3" s="430"/>
      <c r="Q3" s="112"/>
      <c r="R3" s="437"/>
      <c r="S3" s="437"/>
      <c r="U3" s="430"/>
      <c r="V3" s="430"/>
    </row>
    <row r="4" spans="1:24" s="271" customFormat="1" ht="18.75" customHeight="1">
      <c r="X4" s="279"/>
    </row>
    <row r="5" spans="1:24" s="271" customFormat="1" ht="18.75" customHeight="1">
      <c r="H5" s="272"/>
      <c r="I5" s="272"/>
      <c r="T5" s="273"/>
      <c r="V5" s="272"/>
    </row>
    <row r="6" spans="1:24" s="274" customFormat="1" ht="30" customHeight="1"/>
    <row r="7" spans="1:24" ht="21.75" customHeight="1"/>
    <row r="8" spans="1:24" ht="21.75" customHeight="1"/>
    <row r="9" spans="1:24" ht="21.75" customHeight="1"/>
    <row r="10" spans="1:24" ht="21.75" customHeight="1"/>
    <row r="11" spans="1:24" ht="21.75" customHeight="1"/>
    <row r="12" spans="1:24" ht="21.75" customHeight="1"/>
    <row r="13" spans="1:24" ht="21.75" customHeight="1"/>
    <row r="14" spans="1:24" ht="21.75" customHeight="1"/>
    <row r="15" spans="1:24" ht="21.75" customHeight="1"/>
    <row r="16" spans="1:24" ht="21.75" customHeight="1"/>
    <row r="17" spans="1:24" ht="21.75" customHeight="1"/>
    <row r="18" spans="1:24" ht="21.75" customHeight="1"/>
    <row r="19" spans="1:24" ht="21.75" customHeight="1"/>
    <row r="20" spans="1:24" ht="52.5" customHeight="1">
      <c r="B20" s="293"/>
      <c r="C20" s="268"/>
      <c r="D20" s="268"/>
      <c r="E20" s="270"/>
      <c r="F20" s="270"/>
      <c r="N20" s="5"/>
      <c r="O20" s="5"/>
      <c r="P20" s="5"/>
      <c r="Q20" s="5"/>
    </row>
    <row r="21" spans="1:24" ht="15" customHeight="1">
      <c r="B21" s="268"/>
      <c r="C21" s="268"/>
      <c r="D21" s="268"/>
      <c r="E21" s="270"/>
      <c r="F21" s="270"/>
      <c r="N21" s="5"/>
      <c r="O21" s="5"/>
      <c r="P21" s="5"/>
      <c r="Q21" s="5"/>
    </row>
    <row r="22" spans="1:24" s="13" customFormat="1" ht="25.5" customHeight="1">
      <c r="B22" s="268"/>
      <c r="C22" s="268"/>
      <c r="D22" s="270"/>
      <c r="E22" s="270"/>
      <c r="F22" s="278"/>
    </row>
    <row r="23" spans="1:24" ht="52.5" customHeight="1">
      <c r="B23" s="268"/>
      <c r="C23" s="268"/>
      <c r="D23" s="268"/>
      <c r="E23" s="270"/>
      <c r="F23" s="270"/>
      <c r="N23" s="5"/>
      <c r="O23" s="5"/>
      <c r="P23" s="5"/>
      <c r="Q23" s="5"/>
    </row>
    <row r="24" spans="1:24" s="13" customFormat="1" ht="25.5" customHeight="1">
      <c r="B24" s="5"/>
      <c r="C24" s="268"/>
      <c r="D24" s="268"/>
      <c r="E24" s="268"/>
      <c r="F24" s="270"/>
    </row>
    <row r="25" spans="1:24" ht="17.25" customHeight="1">
      <c r="B25" s="268"/>
      <c r="C25" s="268"/>
      <c r="D25" s="268"/>
      <c r="E25" s="270"/>
      <c r="F25" s="270"/>
      <c r="N25" s="5"/>
      <c r="O25" s="5"/>
      <c r="P25" s="5"/>
      <c r="Q25" s="5"/>
    </row>
    <row r="26" spans="1:24">
      <c r="B26" s="441" t="s">
        <v>269</v>
      </c>
      <c r="C26" s="441"/>
      <c r="D26" s="441"/>
      <c r="E26" s="441"/>
      <c r="F26" s="441"/>
      <c r="G26" s="441"/>
      <c r="H26" s="441"/>
      <c r="I26" s="441"/>
      <c r="J26" s="441"/>
      <c r="K26" s="441"/>
      <c r="L26" s="441"/>
      <c r="N26" s="5"/>
      <c r="O26" s="5"/>
      <c r="P26" s="5"/>
      <c r="Q26" s="5"/>
    </row>
    <row r="27" spans="1:24">
      <c r="N27" s="5"/>
      <c r="O27" s="5"/>
      <c r="P27" s="5"/>
    </row>
    <row r="28" spans="1:24">
      <c r="N28" s="5"/>
      <c r="O28" s="5"/>
      <c r="P28" s="5"/>
    </row>
    <row r="29" spans="1:24">
      <c r="N29" s="5"/>
      <c r="O29" s="5"/>
      <c r="P29" s="5"/>
    </row>
    <row r="30" spans="1:24">
      <c r="O30" s="5"/>
      <c r="P30" s="5"/>
      <c r="T30" s="6"/>
    </row>
    <row r="31" spans="1:24" s="4" customFormat="1">
      <c r="A31" s="5"/>
      <c r="B31" s="5"/>
      <c r="C31" s="5"/>
      <c r="D31" s="5"/>
      <c r="E31" s="5"/>
      <c r="F31" s="5"/>
      <c r="G31" s="5"/>
      <c r="H31" s="5"/>
      <c r="I31" s="5"/>
      <c r="J31" s="5"/>
      <c r="K31" s="5"/>
      <c r="L31" s="5"/>
      <c r="M31" s="5"/>
      <c r="O31" s="5"/>
      <c r="P31" s="5"/>
      <c r="R31" s="5"/>
      <c r="S31" s="5"/>
      <c r="T31" s="5"/>
      <c r="U31" s="5"/>
      <c r="V31" s="5"/>
      <c r="W31" s="5"/>
      <c r="X31" s="5"/>
    </row>
    <row r="32" spans="1:24" s="4" customFormat="1">
      <c r="A32" s="5"/>
      <c r="B32" s="5"/>
      <c r="C32" s="5"/>
      <c r="D32" s="5"/>
      <c r="E32" s="5"/>
      <c r="F32" s="5"/>
      <c r="G32" s="5"/>
      <c r="H32" s="5"/>
      <c r="I32" s="5"/>
      <c r="J32" s="5"/>
      <c r="K32" s="5"/>
      <c r="L32" s="5"/>
      <c r="M32" s="5"/>
      <c r="O32" s="5"/>
      <c r="P32" s="5"/>
      <c r="R32" s="5"/>
      <c r="S32" s="5"/>
      <c r="T32" s="5"/>
      <c r="U32" s="5"/>
      <c r="V32" s="5"/>
      <c r="W32" s="5"/>
      <c r="X32" s="5"/>
    </row>
    <row r="33" spans="1:24" s="4" customFormat="1">
      <c r="A33" s="5"/>
      <c r="B33" s="5"/>
      <c r="C33" s="5"/>
      <c r="D33" s="5"/>
      <c r="E33" s="5"/>
      <c r="F33" s="5"/>
      <c r="G33" s="5"/>
      <c r="H33" s="5"/>
      <c r="I33" s="5"/>
      <c r="J33" s="5"/>
      <c r="K33" s="5"/>
      <c r="L33" s="5"/>
      <c r="M33" s="5"/>
      <c r="O33" s="5"/>
      <c r="P33" s="5"/>
      <c r="R33" s="5"/>
      <c r="S33" s="5"/>
      <c r="T33" s="5"/>
      <c r="U33" s="5"/>
      <c r="V33" s="5"/>
      <c r="W33" s="5"/>
      <c r="X33" s="5"/>
    </row>
    <row r="34" spans="1:24" s="4" customFormat="1">
      <c r="A34" s="5"/>
      <c r="B34" s="5"/>
      <c r="C34" s="5"/>
      <c r="D34" s="5"/>
      <c r="E34" s="5"/>
      <c r="F34" s="5"/>
      <c r="G34" s="5"/>
      <c r="H34" s="5"/>
      <c r="I34" s="5"/>
      <c r="J34" s="5"/>
      <c r="K34" s="5"/>
      <c r="L34" s="5"/>
      <c r="M34" s="5"/>
      <c r="O34" s="5"/>
      <c r="P34" s="5"/>
      <c r="R34" s="5"/>
      <c r="S34" s="5"/>
      <c r="T34" s="5"/>
      <c r="U34" s="5"/>
      <c r="V34" s="5"/>
      <c r="W34" s="5"/>
      <c r="X34" s="5"/>
    </row>
    <row r="35" spans="1:24" s="4" customFormat="1">
      <c r="A35" s="5"/>
      <c r="B35" s="5"/>
      <c r="C35" s="5"/>
      <c r="D35" s="5"/>
      <c r="E35" s="5"/>
      <c r="F35" s="5"/>
      <c r="G35" s="5"/>
      <c r="H35" s="5"/>
      <c r="I35" s="5"/>
      <c r="J35" s="5"/>
      <c r="K35" s="5"/>
      <c r="L35" s="5"/>
      <c r="M35" s="5"/>
      <c r="O35" s="5"/>
      <c r="P35" s="5"/>
      <c r="R35" s="5"/>
      <c r="S35" s="5"/>
      <c r="T35" s="5"/>
      <c r="U35" s="5"/>
      <c r="V35" s="5"/>
      <c r="W35" s="5"/>
      <c r="X35" s="5"/>
    </row>
  </sheetData>
  <sheetProtection algorithmName="SHA-512" hashValue="IrCDvNjfYz9PXtPgQEgIbiCZ3s1dr6BOe1zBh/BFzJojWHioi6Wls+GCttTXIF+ihJy3xQPLGY9qKc/1j3mCGA==" saltValue="yBxkniAB4JYaC3SXWbu9Kg==" spinCount="100000" sheet="1" objects="1" scenarios="1"/>
  <mergeCells count="7">
    <mergeCell ref="R1:S3"/>
    <mergeCell ref="U1:V3"/>
    <mergeCell ref="B26:L26"/>
    <mergeCell ref="C1:D3"/>
    <mergeCell ref="H1:J3"/>
    <mergeCell ref="L1:M3"/>
    <mergeCell ref="O1:P3"/>
  </mergeCells>
  <dataValidations count="1">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22" xr:uid="{00000000-0002-0000-1000-000000000000}">
      <formula1>0</formula1>
    </dataValidation>
  </dataValidations>
  <hyperlinks>
    <hyperlink ref="B26" location="Deckblatt!A1" display="Keine Gewähr für die Richtigkeit der Angaben. Dieses Tool ersetzt keine fundierte Rechts-, Steuer- oder Finanzberatung. Mehr Details hier." xr:uid="{00000000-0004-0000-1000-000000000000}"/>
  </hyperlinks>
  <pageMargins left="0.25" right="0.25" top="0.75" bottom="0.75" header="0.3" footer="0.3"/>
  <pageSetup paperSize="9" scale="73"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3"/>
    <pageSetUpPr fitToPage="1"/>
  </sheetPr>
  <dimension ref="A1:X37"/>
  <sheetViews>
    <sheetView showGridLines="0" showRowColHeaders="0" zoomScaleNormal="100" workbookViewId="0">
      <pane ySplit="6" topLeftCell="A7" activePane="bottomLeft" state="frozen"/>
      <selection activeCell="D31" sqref="D31"/>
      <selection pane="bottomLeft"/>
    </sheetView>
  </sheetViews>
  <sheetFormatPr baseColWidth="10" defaultColWidth="9.1640625" defaultRowHeight="15"/>
  <cols>
    <col min="1" max="1" width="3.33203125" style="5" customWidth="1"/>
    <col min="2" max="2" width="5.5" style="5" customWidth="1"/>
    <col min="3" max="3" width="20.5" style="5" customWidth="1"/>
    <col min="4" max="4" width="13.83203125" style="5" customWidth="1"/>
    <col min="5" max="5" width="16.5" style="5" customWidth="1"/>
    <col min="6" max="6" width="2.1640625" style="5" customWidth="1"/>
    <col min="7" max="7" width="9.1640625" style="5" customWidth="1"/>
    <col min="8" max="8" width="11.33203125" style="5" customWidth="1"/>
    <col min="9" max="9" width="2.83203125" style="5" customWidth="1"/>
    <col min="10" max="13" width="11.33203125" style="5" customWidth="1"/>
    <col min="14" max="17" width="11.33203125" style="4" customWidth="1"/>
    <col min="18" max="22" width="11.33203125" style="5" customWidth="1"/>
    <col min="23" max="23" width="27.5" style="5" customWidth="1"/>
    <col min="24" max="25" width="11.33203125" style="5" customWidth="1"/>
    <col min="26" max="16384" width="9.1640625" style="5"/>
  </cols>
  <sheetData>
    <row r="1" spans="1:24" s="113" customFormat="1" ht="12.75" customHeight="1">
      <c r="A1" s="109"/>
      <c r="C1" s="442" t="s">
        <v>278</v>
      </c>
      <c r="D1" s="442"/>
      <c r="H1" s="430"/>
      <c r="I1" s="430"/>
      <c r="J1" s="430"/>
      <c r="K1" s="111"/>
      <c r="L1" s="443"/>
      <c r="M1" s="443"/>
      <c r="N1" s="112"/>
      <c r="O1" s="430"/>
      <c r="P1" s="430"/>
      <c r="Q1" s="112"/>
      <c r="R1" s="437"/>
      <c r="S1" s="437"/>
      <c r="U1" s="430"/>
      <c r="V1" s="430"/>
    </row>
    <row r="2" spans="1:24" s="113" customFormat="1" ht="15" customHeight="1">
      <c r="A2" s="109"/>
      <c r="C2" s="442"/>
      <c r="D2" s="442"/>
      <c r="H2" s="430"/>
      <c r="I2" s="430"/>
      <c r="J2" s="430"/>
      <c r="K2" s="111"/>
      <c r="L2" s="443"/>
      <c r="M2" s="443"/>
      <c r="N2" s="112"/>
      <c r="O2" s="430"/>
      <c r="P2" s="430"/>
      <c r="Q2" s="112"/>
      <c r="R2" s="437"/>
      <c r="S2" s="437"/>
      <c r="U2" s="430"/>
      <c r="V2" s="430"/>
    </row>
    <row r="3" spans="1:24" s="113" customFormat="1" ht="12.75" customHeight="1">
      <c r="A3" s="109"/>
      <c r="C3" s="442"/>
      <c r="D3" s="442"/>
      <c r="H3" s="430"/>
      <c r="I3" s="430"/>
      <c r="J3" s="430"/>
      <c r="K3" s="111"/>
      <c r="L3" s="443"/>
      <c r="M3" s="443"/>
      <c r="N3" s="112"/>
      <c r="O3" s="430"/>
      <c r="P3" s="430"/>
      <c r="Q3" s="112"/>
      <c r="R3" s="437"/>
      <c r="S3" s="437"/>
      <c r="U3" s="430"/>
      <c r="V3" s="430"/>
    </row>
    <row r="4" spans="1:24" s="271" customFormat="1" ht="18.75" customHeight="1">
      <c r="X4" s="279"/>
    </row>
    <row r="5" spans="1:24" s="271" customFormat="1" ht="18.75" customHeight="1">
      <c r="H5" s="272"/>
      <c r="I5" s="272"/>
      <c r="T5" s="273"/>
      <c r="V5" s="272"/>
    </row>
    <row r="6" spans="1:24" s="274" customFormat="1" ht="30" customHeight="1"/>
    <row r="7" spans="1:24" ht="21.75" customHeight="1"/>
    <row r="8" spans="1:24" ht="15" customHeight="1">
      <c r="B8" s="268"/>
      <c r="C8" s="268"/>
      <c r="D8" s="268"/>
      <c r="E8" s="270"/>
      <c r="F8" s="270"/>
      <c r="N8" s="5"/>
      <c r="O8" s="5"/>
      <c r="P8" s="5"/>
      <c r="Q8" s="5"/>
    </row>
    <row r="9" spans="1:24" s="13" customFormat="1" ht="25.5" customHeight="1">
      <c r="B9" s="268"/>
      <c r="C9" s="268"/>
      <c r="D9" s="270"/>
      <c r="E9" s="270"/>
      <c r="F9" s="278"/>
    </row>
    <row r="10" spans="1:24" ht="52.5" customHeight="1">
      <c r="B10" s="268"/>
      <c r="C10" s="268"/>
      <c r="D10" s="268"/>
      <c r="E10" s="270"/>
      <c r="F10" s="270"/>
      <c r="N10" s="5"/>
      <c r="O10" s="5"/>
      <c r="P10" s="5"/>
      <c r="Q10" s="5"/>
    </row>
    <row r="11" spans="1:24" s="13" customFormat="1" ht="25.5" customHeight="1">
      <c r="B11" s="268"/>
      <c r="C11" s="268"/>
      <c r="D11" s="268"/>
      <c r="E11" s="270"/>
      <c r="F11" s="270"/>
    </row>
    <row r="12" spans="1:24" ht="16">
      <c r="B12" s="268"/>
      <c r="C12" s="268"/>
      <c r="D12" s="268"/>
      <c r="E12" s="270"/>
      <c r="F12" s="270"/>
      <c r="N12" s="5"/>
      <c r="O12" s="5"/>
      <c r="P12" s="5"/>
      <c r="Q12" s="5"/>
    </row>
    <row r="13" spans="1:24" ht="36.75" customHeight="1">
      <c r="L13"/>
      <c r="N13" s="5"/>
      <c r="O13" s="5"/>
      <c r="P13" s="5"/>
      <c r="Q13" s="5"/>
    </row>
    <row r="14" spans="1:24" s="13" customFormat="1" ht="25.5" customHeight="1">
      <c r="B14" s="5"/>
      <c r="C14" s="268"/>
      <c r="D14" s="268"/>
      <c r="E14" s="268"/>
      <c r="F14" s="270"/>
    </row>
    <row r="15" spans="1:24" ht="17.25" customHeight="1">
      <c r="B15" s="268"/>
      <c r="C15" s="268"/>
      <c r="D15" s="268"/>
      <c r="E15" s="270"/>
      <c r="F15" s="270"/>
      <c r="N15" s="5"/>
      <c r="O15" s="5"/>
      <c r="P15" s="5"/>
      <c r="Q15" s="5"/>
    </row>
    <row r="16" spans="1:24" ht="17.25" customHeight="1">
      <c r="B16" s="268"/>
      <c r="C16" s="268"/>
      <c r="D16" s="268"/>
      <c r="E16" s="270"/>
      <c r="F16" s="270"/>
      <c r="N16" s="5"/>
      <c r="O16" s="5"/>
      <c r="P16" s="5"/>
      <c r="Q16" s="5"/>
    </row>
    <row r="17" spans="2:20" ht="17.25" customHeight="1">
      <c r="B17" s="268"/>
      <c r="C17" s="268"/>
      <c r="D17" s="268"/>
      <c r="E17" s="270"/>
      <c r="F17" s="270"/>
      <c r="N17" s="5"/>
      <c r="O17" s="5"/>
      <c r="P17" s="5"/>
      <c r="Q17" s="5"/>
    </row>
    <row r="18" spans="2:20" ht="17.25" customHeight="1">
      <c r="B18" s="268"/>
      <c r="C18" s="268"/>
      <c r="D18" s="268"/>
      <c r="E18" s="270"/>
      <c r="F18" s="270"/>
      <c r="N18" s="5"/>
      <c r="O18" s="5"/>
      <c r="P18" s="5"/>
      <c r="Q18" s="5"/>
    </row>
    <row r="19" spans="2:20" ht="17.25" customHeight="1">
      <c r="B19" s="268"/>
      <c r="C19" s="268"/>
      <c r="D19" s="268"/>
      <c r="E19" s="270"/>
      <c r="F19" s="270"/>
      <c r="N19" s="5"/>
      <c r="O19" s="5"/>
      <c r="P19" s="5"/>
      <c r="Q19" s="5"/>
    </row>
    <row r="20" spans="2:20" ht="17.25" customHeight="1">
      <c r="B20" s="268"/>
      <c r="C20" s="268"/>
      <c r="D20" s="268"/>
      <c r="E20" s="270"/>
      <c r="F20" s="270"/>
      <c r="N20" s="5"/>
      <c r="O20" s="5"/>
      <c r="P20" s="5"/>
      <c r="Q20" s="5"/>
    </row>
    <row r="21" spans="2:20" ht="17.25" customHeight="1">
      <c r="B21" s="268"/>
      <c r="C21" s="268"/>
      <c r="D21" s="268"/>
      <c r="E21" s="270"/>
      <c r="F21" s="270"/>
      <c r="N21" s="5"/>
      <c r="O21" s="5"/>
      <c r="P21" s="5"/>
      <c r="Q21" s="5"/>
    </row>
    <row r="22" spans="2:20" ht="17.25" customHeight="1">
      <c r="B22" s="268"/>
      <c r="C22" s="268"/>
      <c r="D22" s="268"/>
      <c r="E22" s="270"/>
      <c r="F22" s="270"/>
      <c r="N22" s="5"/>
      <c r="O22" s="5"/>
      <c r="P22" s="5"/>
      <c r="Q22" s="5"/>
    </row>
    <row r="23" spans="2:20" ht="17.25" customHeight="1">
      <c r="B23" s="268"/>
      <c r="C23" s="268"/>
      <c r="D23" s="268"/>
      <c r="E23" s="270"/>
      <c r="F23" s="270"/>
      <c r="N23" s="5"/>
      <c r="O23" s="5"/>
      <c r="P23" s="5"/>
      <c r="Q23" s="5"/>
    </row>
    <row r="24" spans="2:20" ht="17.25" customHeight="1">
      <c r="B24" s="268"/>
      <c r="C24" s="268"/>
      <c r="D24" s="268"/>
      <c r="E24" s="270"/>
      <c r="F24" s="270"/>
      <c r="N24" s="5"/>
      <c r="O24" s="5"/>
      <c r="P24" s="5"/>
      <c r="Q24" s="5"/>
    </row>
    <row r="25" spans="2:20" ht="17.25" customHeight="1">
      <c r="B25" s="268"/>
      <c r="C25" s="268"/>
      <c r="D25" s="268"/>
      <c r="E25" s="270"/>
      <c r="F25" s="270"/>
      <c r="N25" s="5"/>
      <c r="O25" s="5"/>
      <c r="P25" s="5"/>
      <c r="Q25" s="5"/>
    </row>
    <row r="26" spans="2:20" ht="17.25" customHeight="1">
      <c r="B26" s="268"/>
      <c r="C26" s="268"/>
      <c r="D26" s="268"/>
      <c r="E26" s="270"/>
      <c r="F26" s="270"/>
      <c r="N26" s="5"/>
      <c r="O26" s="5"/>
      <c r="P26" s="5"/>
      <c r="Q26" s="5"/>
    </row>
    <row r="27" spans="2:20">
      <c r="N27" s="5"/>
      <c r="O27" s="5"/>
      <c r="P27" s="5"/>
      <c r="Q27" s="5"/>
    </row>
    <row r="28" spans="2:20">
      <c r="B28" s="441" t="s">
        <v>269</v>
      </c>
      <c r="C28" s="441"/>
      <c r="D28" s="441"/>
      <c r="E28" s="441"/>
      <c r="F28" s="441"/>
      <c r="G28" s="441"/>
      <c r="H28" s="441"/>
      <c r="I28" s="441"/>
      <c r="J28" s="441"/>
      <c r="K28" s="441"/>
      <c r="L28" s="441"/>
      <c r="N28" s="5"/>
      <c r="O28" s="5"/>
      <c r="P28" s="5"/>
      <c r="Q28" s="5"/>
    </row>
    <row r="29" spans="2:20">
      <c r="N29" s="5"/>
      <c r="O29" s="5"/>
      <c r="P29" s="5"/>
    </row>
    <row r="30" spans="2:20">
      <c r="N30" s="5"/>
      <c r="O30" s="5"/>
      <c r="P30" s="5"/>
    </row>
    <row r="31" spans="2:20">
      <c r="N31" s="5"/>
      <c r="O31" s="5"/>
      <c r="P31" s="5"/>
    </row>
    <row r="32" spans="2:20">
      <c r="O32" s="5"/>
      <c r="P32" s="5"/>
      <c r="T32" s="6"/>
    </row>
    <row r="33" spans="1:24" s="4" customFormat="1">
      <c r="A33" s="5"/>
      <c r="B33" s="5"/>
      <c r="C33" s="5"/>
      <c r="D33" s="5"/>
      <c r="E33" s="5"/>
      <c r="F33" s="5"/>
      <c r="G33" s="5"/>
      <c r="H33" s="5"/>
      <c r="I33" s="5"/>
      <c r="J33" s="5"/>
      <c r="K33" s="5"/>
      <c r="L33" s="5"/>
      <c r="M33" s="5"/>
      <c r="O33" s="5"/>
      <c r="P33" s="5"/>
      <c r="R33" s="5"/>
      <c r="S33" s="5"/>
      <c r="T33" s="5"/>
      <c r="U33" s="5"/>
      <c r="V33" s="5"/>
      <c r="W33" s="5"/>
      <c r="X33" s="5"/>
    </row>
    <row r="34" spans="1:24" s="4" customFormat="1">
      <c r="A34" s="5"/>
      <c r="B34" s="5"/>
      <c r="C34" s="5"/>
      <c r="D34" s="5"/>
      <c r="E34" s="5"/>
      <c r="F34" s="5"/>
      <c r="G34" s="5"/>
      <c r="H34" s="5"/>
      <c r="I34" s="5"/>
      <c r="J34" s="5"/>
      <c r="K34" s="5"/>
      <c r="L34" s="5"/>
      <c r="M34" s="5"/>
      <c r="O34" s="5"/>
      <c r="P34" s="5"/>
      <c r="R34" s="5"/>
      <c r="S34" s="5"/>
      <c r="T34" s="5"/>
      <c r="U34" s="5"/>
      <c r="V34" s="5"/>
      <c r="W34" s="5"/>
      <c r="X34" s="5"/>
    </row>
    <row r="35" spans="1:24" s="4" customFormat="1">
      <c r="A35" s="5"/>
      <c r="B35" s="5"/>
      <c r="C35" s="5"/>
      <c r="D35" s="5"/>
      <c r="E35" s="5"/>
      <c r="F35" s="5"/>
      <c r="G35" s="5"/>
      <c r="H35" s="5"/>
      <c r="I35" s="5"/>
      <c r="J35" s="5"/>
      <c r="K35" s="5"/>
      <c r="L35" s="5"/>
      <c r="M35" s="5"/>
      <c r="O35" s="5"/>
      <c r="P35" s="5"/>
      <c r="R35" s="5"/>
      <c r="S35" s="5"/>
      <c r="T35" s="5"/>
      <c r="U35" s="5"/>
      <c r="V35" s="5"/>
      <c r="W35" s="5"/>
      <c r="X35" s="5"/>
    </row>
    <row r="36" spans="1:24" s="4" customFormat="1">
      <c r="A36" s="5"/>
      <c r="B36" s="5"/>
      <c r="C36" s="5"/>
      <c r="D36" s="5"/>
      <c r="E36" s="5"/>
      <c r="F36" s="5"/>
      <c r="G36" s="5"/>
      <c r="H36" s="5"/>
      <c r="I36" s="5"/>
      <c r="J36" s="5"/>
      <c r="K36" s="5"/>
      <c r="L36" s="5"/>
      <c r="M36" s="5"/>
      <c r="O36" s="5"/>
      <c r="P36" s="5"/>
      <c r="R36" s="5"/>
      <c r="S36" s="5"/>
      <c r="T36" s="5"/>
      <c r="U36" s="5"/>
      <c r="V36" s="5"/>
      <c r="W36" s="5"/>
      <c r="X36" s="5"/>
    </row>
    <row r="37" spans="1:24" s="4" customFormat="1">
      <c r="A37" s="5"/>
      <c r="B37" s="5"/>
      <c r="C37" s="5"/>
      <c r="D37" s="5"/>
      <c r="E37" s="5"/>
      <c r="F37" s="5"/>
      <c r="G37" s="5"/>
      <c r="H37" s="5"/>
      <c r="I37" s="5"/>
      <c r="J37" s="5"/>
      <c r="K37" s="5"/>
      <c r="L37" s="5"/>
      <c r="M37" s="5"/>
      <c r="O37" s="5"/>
      <c r="P37" s="5"/>
      <c r="R37" s="5"/>
      <c r="S37" s="5"/>
      <c r="T37" s="5"/>
      <c r="U37" s="5"/>
      <c r="V37" s="5"/>
      <c r="W37" s="5"/>
      <c r="X37" s="5"/>
    </row>
  </sheetData>
  <sheetProtection algorithmName="SHA-512" hashValue="rore0KIzrCJ+JBesvVjb3XXI/Wfj0p8jBRWQDvtGoni3j5eBzbT7Go2jxL5QrCSYPbE1pz7CYJq3l1X8RSkW8Q==" saltValue="aKA0bxarjYf+/mlkL2Y9VQ==" spinCount="100000" sheet="1" objects="1" scenarios="1"/>
  <mergeCells count="7">
    <mergeCell ref="R1:S3"/>
    <mergeCell ref="U1:V3"/>
    <mergeCell ref="B28:L28"/>
    <mergeCell ref="C1:D3"/>
    <mergeCell ref="H1:J3"/>
    <mergeCell ref="L1:M3"/>
    <mergeCell ref="O1:P3"/>
  </mergeCells>
  <dataValidations count="1">
    <dataValidation type="decimal" operator="greaterThan" allowBlank="1" showInputMessage="1" showErrorMessage="1" errorTitle="Kaltmiete pro Monat" error="Bitte gib die Kaltmiete in Euro als Zahl &gt;0 ein. Bspw. 386." promptTitle="Kaltmiete pro Monat" prompt="Bitte gib hier die Kaltmiete ein, mit der du kalkulieren möchtest. Bspw. 386 für 386 Euro pro Monat." sqref="F9" xr:uid="{00000000-0002-0000-1100-000000000000}">
      <formula1>0</formula1>
    </dataValidation>
  </dataValidations>
  <hyperlinks>
    <hyperlink ref="B28" location="Deckblatt!A1" display="Keine Gewähr für die Richtigkeit der Angaben. Dieses Tool ersetzt keine fundierte Rechts-, Steuer- oder Finanzberatung. Mehr Details hier." xr:uid="{00000000-0004-0000-1100-000000000000}"/>
  </hyperlinks>
  <pageMargins left="0.25" right="0.25" top="0.75" bottom="0.75" header="0.3" footer="0.3"/>
  <pageSetup paperSize="9" scale="73"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3">
    <tabColor theme="3"/>
    <pageSetUpPr fitToPage="1"/>
  </sheetPr>
  <dimension ref="A1:T57"/>
  <sheetViews>
    <sheetView showGridLines="0" showRowColHeaders="0" zoomScaleNormal="100" workbookViewId="0">
      <pane ySplit="4" topLeftCell="A5" activePane="bottomLeft" state="frozen"/>
      <selection pane="bottomLeft"/>
    </sheetView>
  </sheetViews>
  <sheetFormatPr baseColWidth="10" defaultColWidth="9.1640625" defaultRowHeight="15"/>
  <cols>
    <col min="1" max="1" width="3.5" style="5" customWidth="1"/>
    <col min="2" max="2" width="10.83203125" style="5" customWidth="1"/>
    <col min="3" max="3" width="12.5" style="5" customWidth="1"/>
    <col min="4" max="4" width="10.5" style="5" customWidth="1"/>
    <col min="5" max="5" width="12.1640625" style="5" customWidth="1"/>
    <col min="6" max="6" width="4.33203125" style="5" customWidth="1"/>
    <col min="7" max="7" width="31.1640625" style="5" customWidth="1"/>
    <col min="8" max="8" width="10.6640625" style="5" customWidth="1"/>
    <col min="9" max="9" width="4.33203125" style="5" customWidth="1"/>
    <col min="10" max="10" width="29" style="5" customWidth="1"/>
    <col min="11" max="11" width="9" style="5" customWidth="1"/>
    <col min="12" max="12" width="4.33203125" style="4" customWidth="1"/>
    <col min="13" max="13" width="24.5" style="4" customWidth="1"/>
    <col min="14" max="14" width="10.5" style="4" customWidth="1"/>
    <col min="15" max="15" width="4.33203125" style="4" customWidth="1"/>
    <col min="16" max="16" width="27.83203125" style="5" customWidth="1"/>
    <col min="17" max="17" width="9.5" style="5" customWidth="1"/>
    <col min="18" max="18" width="4.33203125" style="5" customWidth="1"/>
    <col min="19" max="19" width="28" style="5" customWidth="1"/>
    <col min="20" max="20" width="10.6640625" style="5" customWidth="1"/>
    <col min="21" max="21" width="3.33203125" style="5" customWidth="1"/>
    <col min="22" max="16384" width="9.1640625" style="5"/>
  </cols>
  <sheetData>
    <row r="1" spans="1:20" s="113" customFormat="1" ht="12.75" customHeight="1">
      <c r="A1" s="109"/>
      <c r="B1" s="109"/>
      <c r="C1" s="430" t="s">
        <v>278</v>
      </c>
      <c r="D1" s="430"/>
      <c r="E1" s="442" t="s">
        <v>255</v>
      </c>
      <c r="F1" s="110"/>
      <c r="G1" s="430" t="s">
        <v>252</v>
      </c>
      <c r="H1" s="430"/>
      <c r="I1" s="111"/>
      <c r="J1" s="443" t="s">
        <v>253</v>
      </c>
      <c r="K1" s="443"/>
      <c r="L1" s="112"/>
      <c r="M1" s="430" t="s">
        <v>117</v>
      </c>
      <c r="N1" s="430"/>
      <c r="O1" s="112"/>
      <c r="P1" s="437" t="s">
        <v>273</v>
      </c>
      <c r="Q1" s="437"/>
      <c r="S1" s="430" t="s">
        <v>274</v>
      </c>
      <c r="T1" s="430"/>
    </row>
    <row r="2" spans="1:20" s="113" customFormat="1" ht="15" customHeight="1">
      <c r="A2" s="109"/>
      <c r="B2" s="109"/>
      <c r="C2" s="430"/>
      <c r="D2" s="430"/>
      <c r="E2" s="442"/>
      <c r="F2" s="110"/>
      <c r="G2" s="430"/>
      <c r="H2" s="430"/>
      <c r="I2" s="111"/>
      <c r="J2" s="443"/>
      <c r="K2" s="443"/>
      <c r="L2" s="112"/>
      <c r="M2" s="430"/>
      <c r="N2" s="430"/>
      <c r="O2" s="112"/>
      <c r="P2" s="437"/>
      <c r="Q2" s="437"/>
      <c r="S2" s="430"/>
      <c r="T2" s="430"/>
    </row>
    <row r="3" spans="1:20" s="113" customFormat="1" ht="12.75" customHeight="1">
      <c r="A3" s="109"/>
      <c r="B3" s="109"/>
      <c r="C3" s="430"/>
      <c r="D3" s="430"/>
      <c r="E3" s="442"/>
      <c r="F3" s="110"/>
      <c r="G3" s="430"/>
      <c r="H3" s="430"/>
      <c r="I3" s="111"/>
      <c r="J3" s="443"/>
      <c r="K3" s="443"/>
      <c r="L3" s="112"/>
      <c r="M3" s="430"/>
      <c r="N3" s="430"/>
      <c r="O3" s="112"/>
      <c r="P3" s="437"/>
      <c r="Q3" s="437"/>
      <c r="S3" s="430"/>
      <c r="T3" s="430"/>
    </row>
    <row r="4" spans="1:20" ht="18.75" customHeight="1"/>
    <row r="5" spans="1:20" ht="8.25" customHeight="1" thickBot="1"/>
    <row r="6" spans="1:20" s="13" customFormat="1" ht="23.25" customHeight="1" thickBot="1">
      <c r="B6" s="472" t="s">
        <v>121</v>
      </c>
      <c r="C6" s="474"/>
      <c r="D6" s="474"/>
      <c r="E6" s="473"/>
      <c r="G6" s="472" t="s">
        <v>122</v>
      </c>
      <c r="H6" s="473"/>
      <c r="J6" s="472" t="s">
        <v>78</v>
      </c>
      <c r="K6" s="473"/>
      <c r="L6" s="14"/>
      <c r="M6" s="472" t="s">
        <v>21</v>
      </c>
      <c r="N6" s="473"/>
      <c r="O6" s="14"/>
      <c r="P6" s="472" t="s">
        <v>118</v>
      </c>
      <c r="Q6" s="473"/>
      <c r="S6" s="472" t="s">
        <v>100</v>
      </c>
      <c r="T6" s="473"/>
    </row>
    <row r="7" spans="1:20" ht="16" thickBot="1"/>
    <row r="8" spans="1:20" ht="16" thickBot="1">
      <c r="B8" s="451" t="s">
        <v>257</v>
      </c>
      <c r="C8" s="461"/>
      <c r="D8" s="461"/>
      <c r="E8" s="452"/>
      <c r="G8" s="466" t="s">
        <v>16</v>
      </c>
      <c r="H8" s="467"/>
      <c r="J8" s="451" t="s">
        <v>19</v>
      </c>
      <c r="K8" s="452"/>
      <c r="M8" s="466" t="s">
        <v>119</v>
      </c>
      <c r="N8" s="467"/>
      <c r="P8" s="466" t="s">
        <v>124</v>
      </c>
      <c r="Q8" s="467"/>
      <c r="S8" s="451" t="s">
        <v>251</v>
      </c>
      <c r="T8" s="452"/>
    </row>
    <row r="9" spans="1:20">
      <c r="B9" s="114" t="s">
        <v>113</v>
      </c>
      <c r="C9" s="470" t="str">
        <f>IF('0'!B10="","Bitte gib im roten Faden eine Adresse ein",'0'!B10)</f>
        <v>Bitte gib im roten Faden eine Adresse ein</v>
      </c>
      <c r="D9" s="470"/>
      <c r="E9" s="471"/>
      <c r="G9" s="130" t="s">
        <v>77</v>
      </c>
      <c r="H9" s="131">
        <f>'1'!E10</f>
        <v>0</v>
      </c>
      <c r="J9" s="114" t="s">
        <v>90</v>
      </c>
      <c r="K9" s="135">
        <f>K21</f>
        <v>0</v>
      </c>
      <c r="M9" s="114" t="s">
        <v>23</v>
      </c>
      <c r="N9" s="153">
        <f>N17+N24</f>
        <v>0</v>
      </c>
      <c r="P9" s="114" t="s">
        <v>130</v>
      </c>
      <c r="Q9" s="153">
        <f>12*(-Q22+Q25)+'Kennzahlen im Verlauf'!D16</f>
        <v>0</v>
      </c>
      <c r="S9" s="114" t="s">
        <v>99</v>
      </c>
      <c r="T9" s="255">
        <v>2052</v>
      </c>
    </row>
    <row r="10" spans="1:20" ht="16" thickBot="1">
      <c r="B10" s="115" t="s">
        <v>258</v>
      </c>
      <c r="C10" s="391">
        <f ca="1">IF('0'!E14="","01.01.2017",'0'!E14)</f>
        <v>45601</v>
      </c>
      <c r="D10" s="15" t="s">
        <v>259</v>
      </c>
      <c r="E10" s="161" t="s">
        <v>260</v>
      </c>
      <c r="G10" s="132" t="s">
        <v>98</v>
      </c>
      <c r="H10" s="124">
        <f>K9</f>
        <v>0</v>
      </c>
      <c r="J10" s="115" t="s">
        <v>96</v>
      </c>
      <c r="K10" s="124">
        <f>K29</f>
        <v>0</v>
      </c>
      <c r="M10" s="115" t="s">
        <v>28</v>
      </c>
      <c r="N10" s="150">
        <f>E33-N9</f>
        <v>0</v>
      </c>
      <c r="P10" s="156" t="s">
        <v>95</v>
      </c>
      <c r="Q10" s="144">
        <f>Q9-'Kennzahlen im Verlauf'!D16</f>
        <v>0</v>
      </c>
      <c r="S10" s="116" t="s">
        <v>101</v>
      </c>
      <c r="T10" s="158">
        <f ca="1">T9-'Kennzahlen im Verlauf'!D28</f>
        <v>28</v>
      </c>
    </row>
    <row r="11" spans="1:20" ht="16" thickBot="1">
      <c r="B11" s="116" t="s">
        <v>11</v>
      </c>
      <c r="C11" s="299">
        <f>'0'!E12</f>
        <v>0</v>
      </c>
      <c r="D11" s="358" t="s">
        <v>367</v>
      </c>
      <c r="E11" s="359">
        <f>'11'!E10</f>
        <v>0</v>
      </c>
      <c r="G11" s="133" t="s">
        <v>66</v>
      </c>
      <c r="H11" s="118">
        <f>H9+H10</f>
        <v>0</v>
      </c>
      <c r="J11" s="136" t="s">
        <v>127</v>
      </c>
      <c r="K11" s="383" t="str">
        <f>IFERROR(K10/H9,"-")</f>
        <v>-</v>
      </c>
      <c r="M11" s="115" t="s">
        <v>29</v>
      </c>
      <c r="N11" s="154" t="str">
        <f>IF(N9=0,"n/a",((N18*$N$17)+(N25*$N$24))/$N$9)</f>
        <v>n/a</v>
      </c>
      <c r="P11" s="4"/>
      <c r="Q11" s="4"/>
      <c r="S11" s="4"/>
      <c r="T11" s="4"/>
    </row>
    <row r="12" spans="1:20" ht="16" thickBot="1">
      <c r="B12" s="4"/>
      <c r="C12" s="4"/>
      <c r="D12" s="4"/>
      <c r="E12" s="4"/>
      <c r="G12" s="264"/>
      <c r="H12" s="16"/>
      <c r="J12" s="138" t="s">
        <v>97</v>
      </c>
      <c r="K12" s="139">
        <f>K9+K10</f>
        <v>0</v>
      </c>
      <c r="M12" s="115" t="s">
        <v>30</v>
      </c>
      <c r="N12" s="154" t="str">
        <f>IF(N9=0,"n/a",((N19*$N$17)+(N26*$N$24))/$N$9)</f>
        <v>n/a</v>
      </c>
      <c r="P12" s="466" t="s">
        <v>128</v>
      </c>
      <c r="Q12" s="467"/>
      <c r="S12" s="451" t="s">
        <v>129</v>
      </c>
      <c r="T12" s="452"/>
    </row>
    <row r="13" spans="1:20" ht="16" thickBot="1">
      <c r="B13" s="451" t="s">
        <v>120</v>
      </c>
      <c r="C13" s="461"/>
      <c r="D13" s="461"/>
      <c r="E13" s="452"/>
      <c r="J13" s="4"/>
      <c r="K13" s="16"/>
      <c r="M13" s="116" t="s">
        <v>26</v>
      </c>
      <c r="N13" s="144">
        <f>N20+N27</f>
        <v>0</v>
      </c>
      <c r="P13" s="114" t="s">
        <v>15</v>
      </c>
      <c r="Q13" s="153">
        <f>12*H9</f>
        <v>0</v>
      </c>
      <c r="S13" s="128" t="s">
        <v>15</v>
      </c>
      <c r="T13" s="153">
        <f ca="1">OFFSET('Kennzahlen im Verlauf'!D8,,Cockpit!T10)*12</f>
        <v>0</v>
      </c>
    </row>
    <row r="14" spans="1:20" ht="16" thickBot="1">
      <c r="B14" s="468" t="s">
        <v>1</v>
      </c>
      <c r="C14" s="469"/>
      <c r="D14" s="464">
        <f>'1'!E8</f>
        <v>0</v>
      </c>
      <c r="E14" s="465"/>
      <c r="G14" s="451" t="s">
        <v>104</v>
      </c>
      <c r="H14" s="452"/>
      <c r="J14" s="466" t="s">
        <v>131</v>
      </c>
      <c r="K14" s="467"/>
      <c r="N14" s="17"/>
      <c r="P14" s="157" t="s">
        <v>17</v>
      </c>
      <c r="Q14" s="385" t="str">
        <f>IFERROR(Q13/D14,"-")</f>
        <v>-</v>
      </c>
      <c r="S14" s="136" t="s">
        <v>266</v>
      </c>
      <c r="T14" s="388" t="str">
        <f ca="1">IFERROR(T13/12/C11,"-")</f>
        <v>-</v>
      </c>
    </row>
    <row r="15" spans="1:20" ht="16" thickBot="1">
      <c r="B15" s="455" t="s">
        <v>126</v>
      </c>
      <c r="C15" s="456"/>
      <c r="D15" s="453" t="str">
        <f>IFERROR(D14/C11,"-")</f>
        <v>-</v>
      </c>
      <c r="E15" s="454"/>
      <c r="G15" s="119" t="s">
        <v>37</v>
      </c>
      <c r="H15" s="302">
        <f>'11'!E14</f>
        <v>0.02</v>
      </c>
      <c r="J15" s="140" t="s">
        <v>92</v>
      </c>
      <c r="K15" s="127">
        <f>K18+K24</f>
        <v>0</v>
      </c>
      <c r="M15" s="466" t="s">
        <v>22</v>
      </c>
      <c r="N15" s="467"/>
      <c r="P15" s="115" t="s">
        <v>20</v>
      </c>
      <c r="Q15" s="386" t="str">
        <f>IFERROR(D14/Q13,"-")</f>
        <v>-</v>
      </c>
      <c r="S15" s="142" t="s">
        <v>228</v>
      </c>
      <c r="T15" s="150">
        <f ca="1">OFFSET('Kennzahlen im Verlauf'!E14,,Cockpit!T10)</f>
        <v>0</v>
      </c>
    </row>
    <row r="16" spans="1:20" ht="16" thickBot="1">
      <c r="B16" s="457" t="s">
        <v>4</v>
      </c>
      <c r="C16" s="458"/>
      <c r="D16" s="282">
        <f>'2'!E12</f>
        <v>0</v>
      </c>
      <c r="E16" s="124">
        <f>D16*$D$14</f>
        <v>0</v>
      </c>
      <c r="G16" s="134" t="s">
        <v>108</v>
      </c>
      <c r="H16" s="381">
        <f>calc_rf!C21</f>
        <v>0</v>
      </c>
      <c r="K16" s="4"/>
      <c r="M16" s="114" t="s">
        <v>250</v>
      </c>
      <c r="N16" s="290">
        <f>'4'!E8</f>
        <v>0</v>
      </c>
      <c r="P16" s="116" t="s">
        <v>18</v>
      </c>
      <c r="Q16" s="387" t="str">
        <f>IFERROR((Q13-12*K10)/E33,"-")</f>
        <v>-</v>
      </c>
      <c r="S16" s="159" t="s">
        <v>2</v>
      </c>
      <c r="T16" s="389" t="str">
        <f ca="1">IFERROR(T15/C11,"-")</f>
        <v>-</v>
      </c>
    </row>
    <row r="17" spans="2:20" ht="16" thickBot="1">
      <c r="B17" s="457" t="s">
        <v>5</v>
      </c>
      <c r="C17" s="458"/>
      <c r="D17" s="282">
        <f>'2'!E14</f>
        <v>0</v>
      </c>
      <c r="E17" s="124">
        <f>D17*$D$14</f>
        <v>0</v>
      </c>
      <c r="G17" s="116" t="s">
        <v>75</v>
      </c>
      <c r="H17" s="382">
        <f>H16*(D14+E21)+SUMIF(D25:D28,"Aktivieren",C25:C28)</f>
        <v>0</v>
      </c>
      <c r="J17" s="451" t="s">
        <v>234</v>
      </c>
      <c r="K17" s="452"/>
      <c r="M17" s="115" t="s">
        <v>23</v>
      </c>
      <c r="N17" s="289">
        <f>N16*D14</f>
        <v>0</v>
      </c>
      <c r="P17" s="4"/>
      <c r="Q17" s="4"/>
      <c r="S17" s="4"/>
      <c r="T17" s="4"/>
    </row>
    <row r="18" spans="2:20" ht="16" thickBot="1">
      <c r="B18" s="457" t="s">
        <v>249</v>
      </c>
      <c r="C18" s="458"/>
      <c r="D18" s="282">
        <f>'2'!E16</f>
        <v>0</v>
      </c>
      <c r="E18" s="124">
        <f>D18*$D$14</f>
        <v>0</v>
      </c>
      <c r="J18" s="128" t="s">
        <v>236</v>
      </c>
      <c r="K18" s="170"/>
      <c r="M18" s="115" t="s">
        <v>24</v>
      </c>
      <c r="N18" s="291">
        <f>'4'!E12</f>
        <v>0</v>
      </c>
      <c r="P18" s="451" t="s">
        <v>93</v>
      </c>
      <c r="Q18" s="452"/>
      <c r="S18" s="451" t="s">
        <v>93</v>
      </c>
      <c r="T18" s="452"/>
    </row>
    <row r="19" spans="2:20" ht="16" thickBot="1">
      <c r="B19" s="457" t="s">
        <v>6</v>
      </c>
      <c r="C19" s="458"/>
      <c r="D19" s="282">
        <f>'2'!E10</f>
        <v>0</v>
      </c>
      <c r="E19" s="124">
        <f>D19*$D$14</f>
        <v>0</v>
      </c>
      <c r="G19" s="451" t="s">
        <v>103</v>
      </c>
      <c r="H19" s="452"/>
      <c r="J19" s="141" t="s">
        <v>91</v>
      </c>
      <c r="K19" s="171"/>
      <c r="M19" s="115" t="s">
        <v>25</v>
      </c>
      <c r="N19" s="291">
        <f>'4'!E14</f>
        <v>0</v>
      </c>
      <c r="P19" s="114" t="s">
        <v>13</v>
      </c>
      <c r="Q19" s="153">
        <f>H11</f>
        <v>0</v>
      </c>
      <c r="S19" s="114" t="s">
        <v>13</v>
      </c>
      <c r="T19" s="153">
        <f ca="1">OFFSET('Kennzahlen im Verlauf'!D10,,Cockpit!T10)</f>
        <v>0</v>
      </c>
    </row>
    <row r="20" spans="2:20">
      <c r="B20" s="457" t="s">
        <v>8</v>
      </c>
      <c r="C20" s="458"/>
      <c r="D20" s="282">
        <f>'2'!E18</f>
        <v>0</v>
      </c>
      <c r="E20" s="124">
        <f>D20*$D$14</f>
        <v>0</v>
      </c>
      <c r="G20" s="119" t="s">
        <v>60</v>
      </c>
      <c r="H20" s="292">
        <f>'6'!E11</f>
        <v>0</v>
      </c>
      <c r="J20" s="142" t="s">
        <v>10</v>
      </c>
      <c r="K20" s="124">
        <f>K37</f>
        <v>0</v>
      </c>
      <c r="M20" s="115" t="s">
        <v>26</v>
      </c>
      <c r="N20" s="150">
        <f>(N18+N19)*N17/12</f>
        <v>0</v>
      </c>
      <c r="P20" s="130" t="s">
        <v>31</v>
      </c>
      <c r="Q20" s="150">
        <f>-K12</f>
        <v>0</v>
      </c>
      <c r="S20" s="130" t="s">
        <v>31</v>
      </c>
      <c r="T20" s="150">
        <f ca="1">-(K12-K27)*(1+H25)^T10-H20*T19</f>
        <v>0</v>
      </c>
    </row>
    <row r="21" spans="2:20" ht="16" thickBot="1">
      <c r="B21" s="462" t="s">
        <v>7</v>
      </c>
      <c r="C21" s="463"/>
      <c r="D21" s="117">
        <f>SUM(D16:D20)</f>
        <v>0</v>
      </c>
      <c r="E21" s="118">
        <f>SUM(E16:E20)</f>
        <v>0</v>
      </c>
      <c r="G21" s="115" t="s">
        <v>241</v>
      </c>
      <c r="H21" s="289">
        <f>'6'!E13</f>
        <v>0</v>
      </c>
      <c r="J21" s="143" t="s">
        <v>7</v>
      </c>
      <c r="K21" s="144">
        <f>SUM(K18:K20)</f>
        <v>0</v>
      </c>
      <c r="M21" s="116" t="s">
        <v>102</v>
      </c>
      <c r="N21" s="152">
        <f ca="1">IFERROR(HLOOKUP(0,'Kennzahlen im Verlauf'!D41:BA62,22,FALSE),"-")</f>
        <v>2024</v>
      </c>
      <c r="P21" s="130" t="s">
        <v>33</v>
      </c>
      <c r="Q21" s="150">
        <f>IFERROR(-N11*N9/12,0)</f>
        <v>0</v>
      </c>
      <c r="S21" s="130" t="s">
        <v>33</v>
      </c>
      <c r="T21" s="150">
        <f ca="1">-OFFSET('Kennzahlen im Verlauf'!D67,,Cockpit!T10)/12</f>
        <v>0</v>
      </c>
    </row>
    <row r="22" spans="2:20" ht="16" thickBot="1">
      <c r="B22" s="4"/>
      <c r="C22" s="4"/>
      <c r="D22" s="18"/>
      <c r="E22" s="19"/>
      <c r="G22" s="120" t="s">
        <v>240</v>
      </c>
      <c r="H22" s="384" t="str">
        <f>IFERROR(((H16*D14)*(1/80*1.5)-(12*K25))/C11,"-")</f>
        <v>-</v>
      </c>
      <c r="N22" s="23"/>
      <c r="P22" s="130" t="s">
        <v>34</v>
      </c>
      <c r="Q22" s="150">
        <f>IFERROR(-N12*N9/12,0)</f>
        <v>0</v>
      </c>
      <c r="S22" s="130" t="s">
        <v>34</v>
      </c>
      <c r="T22" s="150">
        <f ca="1">-OFFSET('Kennzahlen im Verlauf'!D71,,Cockpit!T10)/12</f>
        <v>0</v>
      </c>
    </row>
    <row r="23" spans="2:20" ht="16" thickBot="1">
      <c r="B23" s="451" t="s">
        <v>12</v>
      </c>
      <c r="C23" s="461"/>
      <c r="D23" s="461"/>
      <c r="E23" s="452"/>
      <c r="J23" s="451" t="s">
        <v>233</v>
      </c>
      <c r="K23" s="452"/>
      <c r="M23" s="466" t="s">
        <v>27</v>
      </c>
      <c r="N23" s="467"/>
      <c r="P23" s="130" t="s">
        <v>32</v>
      </c>
      <c r="Q23" s="150">
        <f>SUM(Q19:Q22)</f>
        <v>0</v>
      </c>
      <c r="S23" s="130" t="s">
        <v>32</v>
      </c>
      <c r="T23" s="150">
        <f ca="1">SUM(T19:T22)</f>
        <v>0</v>
      </c>
    </row>
    <row r="24" spans="2:20" ht="16" thickBot="1">
      <c r="B24" s="121" t="s">
        <v>109</v>
      </c>
      <c r="C24" s="122" t="s">
        <v>110</v>
      </c>
      <c r="D24" s="122" t="s">
        <v>111</v>
      </c>
      <c r="E24" s="123" t="s">
        <v>112</v>
      </c>
      <c r="G24" s="451" t="s">
        <v>123</v>
      </c>
      <c r="H24" s="452"/>
      <c r="J24" s="128" t="s">
        <v>235</v>
      </c>
      <c r="K24" s="294">
        <f>'6'!E8</f>
        <v>0</v>
      </c>
      <c r="M24" s="114" t="s">
        <v>23</v>
      </c>
      <c r="N24" s="172"/>
      <c r="P24" s="130" t="s">
        <v>40</v>
      </c>
      <c r="Q24" s="150">
        <f>-Q34</f>
        <v>0</v>
      </c>
      <c r="S24" s="130" t="s">
        <v>40</v>
      </c>
      <c r="T24" s="150">
        <f ca="1">-T34</f>
        <v>0</v>
      </c>
    </row>
    <row r="25" spans="2:20" ht="16" thickBot="1">
      <c r="B25" s="300" t="s">
        <v>350</v>
      </c>
      <c r="C25" s="320">
        <f>'3'!E8</f>
        <v>0</v>
      </c>
      <c r="D25" s="165" t="s">
        <v>349</v>
      </c>
      <c r="E25" s="166">
        <f>C25</f>
        <v>0</v>
      </c>
      <c r="G25" s="114" t="s">
        <v>105</v>
      </c>
      <c r="H25" s="167">
        <v>0.02</v>
      </c>
      <c r="J25" s="145" t="s">
        <v>232</v>
      </c>
      <c r="K25" s="162">
        <v>23</v>
      </c>
      <c r="M25" s="115" t="s">
        <v>24</v>
      </c>
      <c r="N25" s="175"/>
      <c r="P25" s="133" t="s">
        <v>42</v>
      </c>
      <c r="Q25" s="144">
        <f>Q23+Q24</f>
        <v>0</v>
      </c>
      <c r="R25"/>
      <c r="S25" s="133" t="s">
        <v>42</v>
      </c>
      <c r="T25" s="144">
        <f ca="1">T23+T24</f>
        <v>0</v>
      </c>
    </row>
    <row r="26" spans="2:20" ht="16" thickBot="1">
      <c r="B26" s="300" t="s">
        <v>348</v>
      </c>
      <c r="C26" s="320">
        <f>'3'!E10</f>
        <v>0</v>
      </c>
      <c r="D26" s="165" t="s">
        <v>349</v>
      </c>
      <c r="E26" s="166">
        <f>C26</f>
        <v>0</v>
      </c>
      <c r="G26" s="115" t="s">
        <v>106</v>
      </c>
      <c r="H26" s="168">
        <v>0.02</v>
      </c>
      <c r="J26" s="146" t="s">
        <v>237</v>
      </c>
      <c r="K26" s="147">
        <f>C11*H21/12</f>
        <v>0</v>
      </c>
      <c r="M26" s="115" t="s">
        <v>25</v>
      </c>
      <c r="N26" s="175"/>
      <c r="P26"/>
      <c r="Q26"/>
      <c r="S26"/>
      <c r="T26"/>
    </row>
    <row r="27" spans="2:20" ht="16" thickBot="1">
      <c r="B27" s="163" t="s">
        <v>10</v>
      </c>
      <c r="C27" s="164">
        <v>0</v>
      </c>
      <c r="D27" s="165" t="s">
        <v>74</v>
      </c>
      <c r="E27" s="166"/>
      <c r="G27" s="116" t="s">
        <v>107</v>
      </c>
      <c r="H27" s="169">
        <v>0.02</v>
      </c>
      <c r="J27" s="129" t="s">
        <v>238</v>
      </c>
      <c r="K27" s="124">
        <f>H20*H11</f>
        <v>0</v>
      </c>
      <c r="M27" s="115" t="s">
        <v>26</v>
      </c>
      <c r="N27" s="150">
        <f>(N25+N26)*N24/12</f>
        <v>0</v>
      </c>
      <c r="P27" s="451" t="s">
        <v>39</v>
      </c>
      <c r="Q27" s="452"/>
      <c r="S27" s="451" t="s">
        <v>39</v>
      </c>
      <c r="T27" s="452"/>
    </row>
    <row r="28" spans="2:20" ht="16" thickBot="1">
      <c r="B28" s="163" t="s">
        <v>10</v>
      </c>
      <c r="C28" s="164">
        <v>0</v>
      </c>
      <c r="D28" s="165" t="s">
        <v>74</v>
      </c>
      <c r="E28" s="166"/>
      <c r="J28" s="129" t="s">
        <v>89</v>
      </c>
      <c r="K28" s="124">
        <f>K45</f>
        <v>0</v>
      </c>
      <c r="M28" s="116" t="s">
        <v>102</v>
      </c>
      <c r="N28" s="151">
        <f ca="1">HLOOKUP(0,'Kennzahlen im Verlauf'!D58:BA62,5,FALSE)</f>
        <v>2024</v>
      </c>
      <c r="P28" s="114" t="s">
        <v>13</v>
      </c>
      <c r="Q28" s="153">
        <f>Q19</f>
        <v>0</v>
      </c>
      <c r="S28" s="114" t="s">
        <v>13</v>
      </c>
      <c r="T28" s="153">
        <f ca="1">T19</f>
        <v>0</v>
      </c>
    </row>
    <row r="29" spans="2:20" ht="16" thickBot="1">
      <c r="B29" s="115" t="s">
        <v>7</v>
      </c>
      <c r="C29" s="21">
        <f>SUM(C25:C28)</f>
        <v>0</v>
      </c>
      <c r="D29" s="15" t="s">
        <v>7</v>
      </c>
      <c r="E29" s="124">
        <f>SUM(E25:E28)</f>
        <v>0</v>
      </c>
      <c r="J29" s="148" t="s">
        <v>239</v>
      </c>
      <c r="K29" s="149">
        <f>K24+K26+K27+K28</f>
        <v>0</v>
      </c>
      <c r="N29" s="20"/>
      <c r="P29" s="130" t="s">
        <v>244</v>
      </c>
      <c r="Q29" s="150">
        <f>-K12+K26+K27</f>
        <v>0</v>
      </c>
      <c r="S29" s="130" t="s">
        <v>244</v>
      </c>
      <c r="T29" s="150">
        <f ca="1">-(K12-K26-K27)*(1+H25)^T10</f>
        <v>0</v>
      </c>
    </row>
    <row r="30" spans="2:20" ht="16" thickBot="1">
      <c r="B30" s="116" t="s">
        <v>114</v>
      </c>
      <c r="C30" s="125">
        <f>0.15*H16*(D14+E21)*1.19</f>
        <v>0</v>
      </c>
      <c r="D30" s="126" t="s">
        <v>115</v>
      </c>
      <c r="E30" s="118">
        <f>D14+E29</f>
        <v>0</v>
      </c>
      <c r="L30" s="22"/>
      <c r="M30" s="5"/>
      <c r="N30" s="5"/>
      <c r="P30" s="130" t="s">
        <v>33</v>
      </c>
      <c r="Q30" s="150">
        <f>Q21</f>
        <v>0</v>
      </c>
      <c r="S30" s="130" t="s">
        <v>33</v>
      </c>
      <c r="T30" s="150">
        <f ca="1">T21</f>
        <v>0</v>
      </c>
    </row>
    <row r="31" spans="2:20" ht="16" thickBot="1">
      <c r="J31" s="451" t="s">
        <v>242</v>
      </c>
      <c r="K31" s="452"/>
      <c r="P31" s="130" t="s">
        <v>229</v>
      </c>
      <c r="Q31" s="150">
        <f>-'Kennzahlen im Verlauf'!D24</f>
        <v>0</v>
      </c>
      <c r="S31" s="130" t="s">
        <v>229</v>
      </c>
      <c r="T31" s="150">
        <f ca="1">-OFFSET('Kennzahlen im Verlauf'!D24,,Cockpit!T10)</f>
        <v>0</v>
      </c>
    </row>
    <row r="32" spans="2:20" ht="16" thickBot="1">
      <c r="B32" s="451" t="s">
        <v>9</v>
      </c>
      <c r="C32" s="461"/>
      <c r="D32" s="461"/>
      <c r="E32" s="452"/>
      <c r="J32" s="173" t="s">
        <v>245</v>
      </c>
      <c r="K32" s="170"/>
      <c r="P32" s="130" t="s">
        <v>38</v>
      </c>
      <c r="Q32" s="150">
        <f>SUM(Q28:Q31)</f>
        <v>0</v>
      </c>
      <c r="S32" s="130" t="s">
        <v>38</v>
      </c>
      <c r="T32" s="150">
        <f ca="1">SUM(T28:T31)</f>
        <v>0</v>
      </c>
    </row>
    <row r="33" spans="2:20" ht="16" thickBot="1">
      <c r="B33" s="459" t="s">
        <v>7</v>
      </c>
      <c r="C33" s="460"/>
      <c r="D33" s="460"/>
      <c r="E33" s="127">
        <f>D14+E21+C29</f>
        <v>0</v>
      </c>
      <c r="J33" s="174" t="s">
        <v>246</v>
      </c>
      <c r="K33" s="171"/>
      <c r="P33" s="115" t="s">
        <v>230</v>
      </c>
      <c r="Q33" s="137">
        <f>'12'!E14</f>
        <v>0</v>
      </c>
      <c r="S33" s="115" t="s">
        <v>230</v>
      </c>
      <c r="T33" s="176">
        <f>Q33</f>
        <v>0</v>
      </c>
    </row>
    <row r="34" spans="2:20" ht="16" thickBot="1">
      <c r="J34" s="174" t="s">
        <v>247</v>
      </c>
      <c r="K34" s="171"/>
      <c r="P34" s="133" t="s">
        <v>41</v>
      </c>
      <c r="Q34" s="144">
        <f>Q33*Q32</f>
        <v>0</v>
      </c>
      <c r="S34" s="133" t="s">
        <v>41</v>
      </c>
      <c r="T34" s="144">
        <f ca="1">T33*T32</f>
        <v>0</v>
      </c>
    </row>
    <row r="35" spans="2:20" ht="16" thickBot="1">
      <c r="J35" s="174" t="s">
        <v>248</v>
      </c>
      <c r="K35" s="171"/>
    </row>
    <row r="36" spans="2:20" ht="16" thickBot="1">
      <c r="J36" s="142" t="s">
        <v>132</v>
      </c>
      <c r="K36" s="162"/>
      <c r="P36" s="466" t="s">
        <v>71</v>
      </c>
      <c r="Q36" s="467"/>
      <c r="S36" s="451" t="s">
        <v>125</v>
      </c>
      <c r="T36" s="452"/>
    </row>
    <row r="37" spans="2:20" ht="16" thickBot="1">
      <c r="J37" s="143" t="s">
        <v>7</v>
      </c>
      <c r="K37" s="144">
        <f>SUM(K32:K36)</f>
        <v>0</v>
      </c>
      <c r="L37"/>
      <c r="M37" s="5"/>
      <c r="N37" s="5"/>
      <c r="P37" s="114" t="s">
        <v>35</v>
      </c>
      <c r="Q37" s="155" t="str">
        <f>IFERROR(Q9/N10,"-")</f>
        <v>-</v>
      </c>
      <c r="S37" s="128" t="s">
        <v>56</v>
      </c>
      <c r="T37" s="153">
        <f ca="1">-(T21-T25/(1-T33))</f>
        <v>0</v>
      </c>
    </row>
    <row r="38" spans="2:20" ht="16" thickBot="1">
      <c r="L38" s="5"/>
      <c r="M38" s="5"/>
      <c r="N38" s="5"/>
      <c r="P38" s="156" t="s">
        <v>95</v>
      </c>
      <c r="Q38" s="390" t="str">
        <f>IFERROR(Q10/N10,"-")</f>
        <v>-</v>
      </c>
      <c r="S38" s="116" t="s">
        <v>57</v>
      </c>
      <c r="T38" s="160" t="str">
        <f ca="1">IF(OFFSET('Kennzahlen im Verlauf'!D63,,Cockpit!T10)=0,"-",T37*12/OFFSET('Kennzahlen im Verlauf'!D63,,Cockpit!T10))</f>
        <v>-</v>
      </c>
    </row>
    <row r="39" spans="2:20" ht="16" thickBot="1">
      <c r="J39" s="451" t="s">
        <v>243</v>
      </c>
      <c r="K39" s="452"/>
      <c r="L39" s="5"/>
      <c r="O39" s="5"/>
    </row>
    <row r="40" spans="2:20">
      <c r="J40" s="173" t="s">
        <v>245</v>
      </c>
      <c r="K40" s="170"/>
      <c r="L40" s="5"/>
      <c r="O40" s="5"/>
    </row>
    <row r="41" spans="2:20">
      <c r="J41" s="174" t="s">
        <v>246</v>
      </c>
      <c r="K41" s="171"/>
      <c r="L41" s="5"/>
      <c r="O41" s="5"/>
    </row>
    <row r="42" spans="2:20">
      <c r="J42" s="174" t="s">
        <v>247</v>
      </c>
      <c r="K42" s="171"/>
      <c r="L42" s="5"/>
      <c r="O42" s="5"/>
    </row>
    <row r="43" spans="2:20">
      <c r="J43" s="174" t="s">
        <v>248</v>
      </c>
      <c r="K43" s="171"/>
      <c r="L43" s="5"/>
      <c r="O43" s="5"/>
    </row>
    <row r="44" spans="2:20">
      <c r="J44" s="142" t="s">
        <v>132</v>
      </c>
      <c r="K44" s="162"/>
      <c r="L44" s="5"/>
      <c r="O44" s="5"/>
    </row>
    <row r="45" spans="2:20" ht="16" thickBot="1">
      <c r="J45" s="143" t="s">
        <v>7</v>
      </c>
      <c r="K45" s="144">
        <f>SUM(K40:K44)</f>
        <v>0</v>
      </c>
      <c r="L45" s="5"/>
      <c r="M45" s="5"/>
      <c r="N45" s="5"/>
      <c r="O45" s="5"/>
    </row>
    <row r="46" spans="2:20">
      <c r="L46" s="5"/>
      <c r="M46" s="5"/>
      <c r="N46" s="5"/>
      <c r="O46" s="5"/>
    </row>
    <row r="47" spans="2:20">
      <c r="L47" s="5"/>
      <c r="M47" s="5"/>
      <c r="N47" s="5"/>
      <c r="O47" s="5"/>
    </row>
    <row r="48" spans="2:20">
      <c r="B48" s="107" t="s">
        <v>269</v>
      </c>
      <c r="L48" s="5"/>
      <c r="M48" s="5"/>
      <c r="N48" s="5"/>
      <c r="O48" s="5"/>
    </row>
    <row r="49" spans="12:18">
      <c r="L49" s="5"/>
      <c r="M49" s="5"/>
      <c r="N49" s="5"/>
    </row>
    <row r="50" spans="12:18">
      <c r="L50" s="5"/>
      <c r="M50" s="5"/>
      <c r="N50" s="5"/>
    </row>
    <row r="51" spans="12:18">
      <c r="L51" s="5"/>
      <c r="M51" s="5"/>
      <c r="N51" s="5"/>
    </row>
    <row r="52" spans="12:18">
      <c r="M52" s="5"/>
      <c r="N52" s="5"/>
      <c r="R52" s="6"/>
    </row>
    <row r="53" spans="12:18">
      <c r="M53" s="5"/>
      <c r="N53" s="5"/>
    </row>
    <row r="54" spans="12:18">
      <c r="M54" s="5"/>
      <c r="N54" s="5"/>
    </row>
    <row r="55" spans="12:18">
      <c r="M55" s="5"/>
      <c r="N55" s="5"/>
    </row>
    <row r="56" spans="12:18">
      <c r="M56" s="5"/>
      <c r="N56" s="5"/>
    </row>
    <row r="57" spans="12:18">
      <c r="M57" s="5"/>
      <c r="N57" s="5"/>
    </row>
  </sheetData>
  <sheetProtection algorithmName="SHA-512" hashValue="CsS4v9qAEoswTdlqMCBomIE5xd7vYCN8oS3aavVpvirBbb7ykvoAY7+vSlKlbNNDFvl9aw+AfDDuYAakqzLguQ==" saltValue="5g0PTfdwc+ZfGscxbjzagw==" spinCount="100000" sheet="1" objects="1" scenarios="1" formatCells="0" formatColumns="0"/>
  <dataConsolidate/>
  <mergeCells count="52">
    <mergeCell ref="P6:Q6"/>
    <mergeCell ref="M8:N8"/>
    <mergeCell ref="E1:E3"/>
    <mergeCell ref="B6:E6"/>
    <mergeCell ref="P8:Q8"/>
    <mergeCell ref="G6:H6"/>
    <mergeCell ref="B8:E8"/>
    <mergeCell ref="G8:H8"/>
    <mergeCell ref="G1:H3"/>
    <mergeCell ref="C1:D3"/>
    <mergeCell ref="S1:T3"/>
    <mergeCell ref="P1:Q3"/>
    <mergeCell ref="J31:K31"/>
    <mergeCell ref="S18:T18"/>
    <mergeCell ref="J23:K23"/>
    <mergeCell ref="J14:K14"/>
    <mergeCell ref="J17:K17"/>
    <mergeCell ref="S12:T12"/>
    <mergeCell ref="M15:N15"/>
    <mergeCell ref="M1:N3"/>
    <mergeCell ref="S8:T8"/>
    <mergeCell ref="J1:K3"/>
    <mergeCell ref="P12:Q12"/>
    <mergeCell ref="S6:T6"/>
    <mergeCell ref="J6:K6"/>
    <mergeCell ref="M6:N6"/>
    <mergeCell ref="S36:T36"/>
    <mergeCell ref="P36:Q36"/>
    <mergeCell ref="P27:Q27"/>
    <mergeCell ref="S27:T27"/>
    <mergeCell ref="P18:Q18"/>
    <mergeCell ref="D14:E14"/>
    <mergeCell ref="M23:N23"/>
    <mergeCell ref="B13:E13"/>
    <mergeCell ref="J8:K8"/>
    <mergeCell ref="B14:C14"/>
    <mergeCell ref="G14:H14"/>
    <mergeCell ref="C9:E9"/>
    <mergeCell ref="B20:C20"/>
    <mergeCell ref="J39:K39"/>
    <mergeCell ref="D15:E15"/>
    <mergeCell ref="B15:C15"/>
    <mergeCell ref="B18:C18"/>
    <mergeCell ref="B19:C19"/>
    <mergeCell ref="B33:D33"/>
    <mergeCell ref="B32:E32"/>
    <mergeCell ref="B21:C21"/>
    <mergeCell ref="G24:H24"/>
    <mergeCell ref="B23:E23"/>
    <mergeCell ref="G19:H19"/>
    <mergeCell ref="B17:C17"/>
    <mergeCell ref="B16:C16"/>
  </mergeCells>
  <conditionalFormatting sqref="F27">
    <cfRule type="expression" priority="1">
      <formula>_xludf.ISERROR($Q$25)</formula>
    </cfRule>
  </conditionalFormatting>
  <dataValidations count="128">
    <dataValidation type="list" allowBlank="1" showInputMessage="1" showErrorMessage="1" promptTitle="Steuerliche Behandlung" prompt="Sofort: Betrag wird sofort als Werbungskosten geltend gemacht. Keine langfristige Abschreibung. Kein Einfluss auf Cashflow._x000a__x000a_Aktivieren: Betrag wird langfristig zusammen mit dem Gebäude abgeschrieben. Kein sofortiger Steuervorteil. Dafür höherer Cashflow." sqref="D25:D28" xr:uid="{00000000-0002-0000-1200-000000000000}">
      <formula1>"Aktivieren,Sofort"</formula1>
    </dataValidation>
    <dataValidation allowBlank="1" showInputMessage="1" promptTitle="Adresse" prompt="Diese Adresse hast du im roten Faden festgelegt. Kehre bitte dorthin zurück, um sie zu ändern." sqref="C9:E9" xr:uid="{00000000-0002-0000-1200-000001000000}"/>
    <dataValidation allowBlank="1" showInputMessage="1" errorTitle="Kaufdatum" error="Bitte gib ein gültiges Datum zwischen dem 01.01.1900 und 31.12.2199 ein. Wenn du das Kaufdatum noch nicht kennst, gib einfach den 1. Januar des aktuellen Jahres ein, um den Tool alle Berechnungen zu ermöglichen." promptTitle="Kaufdatum" prompt="Dieses Kaufdatum hast du im roten Faden festgelegt. Bitte kehre dorthin zurück, um es zu ändern." sqref="C10" xr:uid="{00000000-0002-0000-1200-000002000000}"/>
    <dataValidation operator="greaterThan" showInputMessage="1" errorTitle="Wohnfläche" error="Bitte gib die Wohnfläche in m² als positive Zahl ein, bspw. 31." promptTitle="Wohnfläche" prompt="Diese Wohnfläche hast du im roten Faden festgelegt. Bitte kehre dorthin zurück, um sie zu ändern." sqref="C11" xr:uid="{00000000-0002-0000-1200-000003000000}"/>
    <dataValidation operator="greaterThanOrEqual" showInputMessage="1" errorTitle="Kaufpreis" error="Bitte gib den Kaufpreis in Euro ein, bspw. 55000. Der Kaufpreis darf nicht negativ sein. " promptTitle="Kaufpreis" prompt="Dies ist der Kaufpreis, den du im roten Faden festgelegt hast. Kehre zum roten Faden zurück, um diesen anzupassen." sqref="D14:E14" xr:uid="{00000000-0002-0000-1200-000004000000}"/>
    <dataValidation operator="greaterThanOrEqual" allowBlank="1" showInputMessage="1" errorTitle="Makler" error="Bitte gib die Maklerprovision in % des Kaufpreises ein, bspw. 3,57%. Der Wert darf nicht negativ sein." promptTitle="Makler-Provision" prompt="Dies ist die Makler-Provision die du im roten Faden festgelegt hast. Kehre zum roten Faden zurück, um diese anzupassen." sqref="D16" xr:uid="{00000000-0002-0000-1200-000005000000}"/>
    <dataValidation operator="greaterThanOrEqual" allowBlank="1" showInputMessage="1" errorTitle="Notar" error="Bitte gib die Notarkosten in % des Kaufpreises ein, bspw. 1,50%. Der Wert darf nicht negativ sein." promptTitle="Notar" prompt="Dies sind die Notar-Kosten, die du im roten Faden festgelegt hast. Kehre zum roten Faden zurück, um diese anzupassen." sqref="D17" xr:uid="{00000000-0002-0000-1200-000006000000}"/>
    <dataValidation operator="greaterThanOrEqual" allowBlank="1" showInputMessage="1" errorTitle="Grundbuch Amt" error="Bitte gib die Kosten für das Grundbuch Amt in % des Kaufpreises ein, bspw. 0,50%. Der Wert darf nicht negativ sein." promptTitle="Grundbuch Amt" prompt="Dies sind die Kosten für das Grundbuch-Amt, die du im roten Faden festgelegt hast. Kehre zum roten Faden zurück, um diese anzupassen." sqref="D18" xr:uid="{00000000-0002-0000-1200-000007000000}"/>
    <dataValidation operator="greaterThanOrEqual" allowBlank="1" showInputMessage="1" errorTitle="Grunderwerbsteuer" error="Bitte gib die Grunderwerbsteuer in % des Kaufpreises ein, bspw. 6,50%. Der Wert darf nicht negativ sein." promptTitle="Grunderwerbsteuer" prompt="Dies sist die Grunderwerbsteuer, die du im roten Faden festgelegt hast. Kehre zum roten Faden zurück, um diese anzupassen." sqref="D19" xr:uid="{00000000-0002-0000-1200-000008000000}"/>
    <dataValidation operator="greaterThanOrEqual" allowBlank="1" showInputMessage="1" errorTitle="Sonstige Kaufnebenkosten" error="Bitte gib die sonstigen Kaufnebenkosten in % des Kaufpreises ein, bspw. 1,00%. Der Wert darf nicht negativ sein." promptTitle="Sonstige Kaufnebenkosten" prompt="Dies sind die sonstigen Kaufnebenkosten, die du im roten Faden festgelegt hast. Kehre zum roten Faden zurück, um diese anzupassen." sqref="D20" xr:uid="{00000000-0002-0000-1200-000009000000}"/>
    <dataValidation allowBlank="1" showInputMessage="1" showErrorMessage="1" promptTitle="Anfängliche Investitionen" prompt="Hier gibst du anfängliche Investitionen ein. Das sind typischerweise Sanierungs-, Renovierungs- oder Möblierungsarbeiten, die du kurz nach dem Kauf durchführen möchtest. Diese steigern deine Gesamtinvestitionskosten und deinen Kapitalbededarf." sqref="B23:E23" xr:uid="{00000000-0002-0000-1200-00000A000000}"/>
    <dataValidation allowBlank="1" showInputMessage="1" showErrorMessage="1" promptTitle="Objekt" prompt="Hier gibst du einige Basisdaten zum Objekt ein. Insbesondere die Wohnfläche sowie das Kaufdatum wird in vielen Berechnungen verwendet und ist deshalb Pflicht." sqref="B8:E8" xr:uid="{00000000-0002-0000-1200-00000B000000}"/>
    <dataValidation allowBlank="1" showInputMessage="1" showErrorMessage="1" promptTitle="Kaufpreis und Kaufnebenkosten" prompt="Hier gibst du den Kaufpreis und die Kaufnebenkosten ein. Statt der % Werte kannst du bei den Nebenkosten auch einfach einen Euro-Betrag im Feld rechts daneben eingeben." sqref="B13:E13" xr:uid="{00000000-0002-0000-1200-00000C000000}"/>
    <dataValidation allowBlank="1" showInputMessage="1" showErrorMessage="1" promptTitle="Anfängliche Investitionen - was" prompt="Hier beschreibst du kurz, worum es bei der Investition geht." sqref="B27:B28" xr:uid="{00000000-0002-0000-1200-00000D000000}"/>
    <dataValidation type="decimal" operator="greaterThanOrEqual" allowBlank="1" showInputMessage="1" showErrorMessage="1" errorTitle="Anfängliche Inv. - Kosten" error="Bitte gib die Kosten in Euro ein, bspw. 3000. Der Wert darf nicht negativ sein." promptTitle="Anfängliche Inv. - Kosten" prompt="Hier gibst du ein, wie viel die jeweilige investition insgesamt kostet (inkl. MwSt.)._x000a__x000a_Format: Kosten in Euro, bspw. 3000." sqref="C27:C28" xr:uid="{00000000-0002-0000-1200-00000E000000}">
      <formula1>0</formula1>
    </dataValidation>
    <dataValidation type="decimal" operator="greaterThanOrEqual" allowBlank="1" showInputMessage="1" showErrorMessage="1" errorTitle="Wertsteigerung" error="Bitte gib die Wertsteigerung für die Investition in Euro ein, bspw. 10000. Der Wert darf nicht negativ sein." promptTitle="Wertsteigerung" prompt="Hier gibst du ein, zu welcher Wertsteigerung die jeweilige Investition führt. Diese kann deutlich über den Kosten liegen und wird in der Prognose der Wertentwicklung berücksichtigt._x000a__x000a_Format: Wertsteigerung in Euro, bspw. 10000." sqref="E25:E28" xr:uid="{00000000-0002-0000-1200-00000F000000}">
      <formula1>0</formula1>
    </dataValidation>
    <dataValidation allowBlank="1" showInputMessage="1" showErrorMessage="1" promptTitle="Neuer Wert" prompt="Der &quot;neue&quot; Wert der Immobilie setzt sich aus dem Kaufpreis und den erfassten wertsteigernden Investitionen zusammen. Dies ist der rechnerische Ausgangspunkt für die Prognose der weiteren Wertentwicklung." sqref="E30" xr:uid="{00000000-0002-0000-1200-000010000000}"/>
    <dataValidation allowBlank="1" showInputMessage="1" showErrorMessage="1" promptTitle="15% Grenze" prompt="Wenn die Investitionen in den ersten 3 Jahren über diesem Wert liegen, stellen sie &quot;anschaffungsnahen Herstellungsaufwand&quot; dar und dürfen steuerlich nur noch langfristig abgeschrieben werden (--&gt; &quot;aktivieren&quot;). Bitte unbedingt Steuerberater einbinden." sqref="C30" xr:uid="{00000000-0002-0000-1200-000011000000}"/>
    <dataValidation allowBlank="1" showInputMessage="1" showErrorMessage="1" promptTitle="Gesamtinvestitionskosten" prompt="Hier werden deine Gesamtinvestitionskosten angezeigt. Dies ist die Summe aus Kaufpreis, Kaufnebenkosten und anfänglichen Investitionen." sqref="B32:E32" xr:uid="{00000000-0002-0000-1200-000012000000}"/>
    <dataValidation allowBlank="1" showInputMessage="1" showErrorMessage="1" promptTitle="Soll-Miete pro Monat" prompt="Hier gibst du deine Soll-Miete pro Monat ein. Wenn du in der Profi-Version den Mehrfamilienhaus-Kalkulator eingeschaltet hast, ziehen sich die Daten von dort. Die normalen Eingabefelder sind dann ausgegraut." sqref="G8:H8" xr:uid="{00000000-0002-0000-1200-000013000000}"/>
    <dataValidation allowBlank="1" showInputMessage="1" promptTitle="Nettokaltmiete" prompt="Dies ist die Nettokaltmiete, die du im roten Faden festgelegt hast. Kehre zum roten Faden zurück, um diese anzupassen." sqref="H9" xr:uid="{00000000-0002-0000-1200-000014000000}"/>
    <dataValidation allowBlank="1" showInputMessage="1" showErrorMessage="1" promptTitle="Umlagefähige Kosten" prompt="Die umlagefähigen Kosten stammen aus den Eingaben im Bereich &quot;Bewirtschaftungskosten&quot; und werden zur Ermittlung der Warmmiete auf die Nettokaltmiete aufgeschlagen." sqref="H10" xr:uid="{00000000-0002-0000-1200-000015000000}"/>
    <dataValidation allowBlank="1" showInputMessage="1" showErrorMessage="1" promptTitle="Warmmiete" prompt="Dies ist die Summe aus der Nettokaltmiete (effektiv) und den umlagefähigen Kosten." sqref="H11:H12" xr:uid="{00000000-0002-0000-1200-000016000000}"/>
    <dataValidation allowBlank="1" showInputMessage="1" errorTitle="AfA Satz" error="Der Abschreibungssatz sollte in aller Regel 2,0% oder 2,5% betragen. Keinesfalls kann er negativ sein oder &gt; 100% betragen." promptTitle="AfA Satz" prompt="Dieser Abschreibungs-Satz wurde aus deinen Eingaben zur Steuer im roten Faden berechnet. Bitte kehre dorthin zurück, um ihn zu ändern." sqref="H15" xr:uid="{00000000-0002-0000-1200-000017000000}"/>
    <dataValidation allowBlank="1" showInputMessage="1" errorTitle="Gebäudeanteil am Kaufpreis" error="Bitte gib den Gebäudeanteil am Kaufpreis in % ein, bspw. 75%. Der Wert muss zwischen 0% und 100% liegen." promptTitle="Gebäudeanteil am Kaufpreis" prompt="Dieser Gebäudeanteil wurde aus deinen Eingaben zur Steuer im roten Faden berechnet. Bitte kehre dorthin zurück, um ihn zu ändern." sqref="H16" xr:uid="{00000000-0002-0000-1200-000018000000}"/>
    <dataValidation allowBlank="1" showInputMessage="1" showErrorMessage="1" promptTitle="Basis langfristige Abschreibung" prompt="Auf diese Basis bezieht sich die langfristige Abschreibung (AfA Satz). Hierzu wird der Gebäudeanteil sowohl auf den Kaufpreis als auch auf die Kaufnebenkosten angewendet. Hinzu kommen &quot;aktivierte&quot; anfängliche Investitionen." sqref="H17" xr:uid="{00000000-0002-0000-1200-000019000000}"/>
    <dataValidation allowBlank="1" showInputMessage="1" showErrorMessage="1" promptTitle="Steuern" prompt="Hier gibst du wichtige Basisdaten für die steuerliche Berechnung deiner Immobilie ein. Bitte besprich alle steuerlichen Details immer auch mit deinem Steuerberater." sqref="G14:H14" xr:uid="{00000000-0002-0000-1200-00001A000000}"/>
    <dataValidation allowBlank="1" showInputMessage="1" showErrorMessage="1" promptTitle="Rücklagen" prompt="Hier legst du fest, welche Rücklagen du für Mietausfall und die Instandhaltung der Immobilie bilden möchtest. Diese werden in der Cashflow Berechnung als regelmäßige Kosten berücksichtigt. Empfehlung: Unbedingt wirklich auf ein separates Konto zurücklegen" sqref="G19:H19" xr:uid="{00000000-0002-0000-1200-00001B000000}"/>
    <dataValidation allowBlank="1" showInputMessage="1" errorTitle="Kalkulatorischer Mietausfall" error="Bitte gib den kalkulatorischen Mietausfall in % ein. Der Wert muss zwischen 0% und 100% liegen." promptTitle="Kalkulatorischer Mietausfall" prompt="Dies ist die Rücklage für Mietausfall, die du im roten Faden festgelegt hast. Kehre zum roten Faden zurück, um diese anzupassen." sqref="H20" xr:uid="{00000000-0002-0000-1200-00001C000000}"/>
    <dataValidation operator="greaterThanOrEqual" allowBlank="1" showInputMessage="1" errorTitle="Eigene Instandhaltungsrücklage" error="Bitte gib deine eigene Instandhaltungsrücklage in Euro pro m² Wohnfläche und Jahr ein, bspw. 10. Die Rücklage darf nicht negativ sein." promptTitle="Eigene Instandhaltungsrücklage" prompt="Dies ist die eigene Instandhaltungsrücklage, die du im roten Faden festgelegt hast. Kehre zum roten Faden zurück, um diese anzupassen." sqref="H21" xr:uid="{00000000-0002-0000-1200-00001D000000}"/>
    <dataValidation allowBlank="1" showInputMessage="1" showErrorMessage="1" promptTitle="Empfohlene Instandhalt.-Rückl." prompt="Bei einer eigenen Rückl. in dieser Höhe, ergibt sich zusammen mit der WEG-Rücklage eine solide Gesamtrücklage gemäß der sog. Petersschen Formel. Voraussetzung: Der Gebäudeanteil am Kaufpreis wurde mit der entspr. Vorlage vom Finanzministerium ermittelt." sqref="H22" xr:uid="{00000000-0002-0000-1200-00001E000000}"/>
    <dataValidation allowBlank="1" showInputMessage="1" showErrorMessage="1" promptTitle="Prognose" prompt="Hier gibst du Basisdaten für die Hochschätzung deiner Immobilien-Kalkulation in die Zukunft ein." sqref="G24:H24" xr:uid="{00000000-0002-0000-1200-00001F000000}"/>
    <dataValidation type="decimal" allowBlank="1" showInputMessage="1" showErrorMessage="1" errorTitle="Kostensteigerung pro Jahr" error="Bitte gib die Kostensteigerung in % ein, bspw. 2%. Der Wert darf zwischen -100% und +1000% liegen." promptTitle="Kostensteigerung pro Jahr" prompt="Hier gibst du ein, mit welcher durchschnittlichen Kostensteigerung pro Jahr in allen Hochrechnungen kalkuliert werden soll. Wird für alle Kosten verwendet, bspw. das Hausgeld. Üblich: 2% (langfr. Inflation)._x000a__x000a_Format: % Kostensteigerung pro Jahr, bspw. 2%." sqref="H25" xr:uid="{00000000-0002-0000-1200-000020000000}">
      <formula1>-1</formula1>
      <formula2>10</formula2>
    </dataValidation>
    <dataValidation type="decimal" allowBlank="1" showInputMessage="1" showErrorMessage="1" errorTitle="Mietsteigerung pro Jahr" error="Bitte gib die Mietsteigerung in % ein, bspw. 2%. Der Wert darf zwischen -100% und +1000% liegen." promptTitle="Mietsteigerung pro Jahr" prompt="Hier gibst du ein, mit welcher durchschnittlichen Mietsteigerung pro Jahr in allen Hochrechnungen kalkuliert werden soll. In der Profi-Version kannst du individuelle Erhöhungen pro Jahr eingeben (eigenes Blatt)._x000a__x000a_Format: % Mietsteig. pro Jahr, bspw. 3%." sqref="H26" xr:uid="{00000000-0002-0000-1200-000021000000}">
      <formula1>-1</formula1>
      <formula2>10</formula2>
    </dataValidation>
    <dataValidation type="decimal" allowBlank="1" showInputMessage="1" showErrorMessage="1" errorTitle="Kostensteigerung pro Jahr" error="Bitte gib die Kostensteigerung in % ein, bspw. 2%. Der Wert darf zwischen -100% und +1000% liegen." promptTitle="Wertsteigerung pro Jahr" prompt="Hier gibst du ein, mit welcher durchschnittlichen Wertsteigerung pro Jahr in allen Hochrechnungen kalkuliert werden soll. Die Zahl hängt stark von der Lage ab und kann auch negativ sein._x000a__x000a_Format: % Wertsteigerung pro Jahr, bspw. 2%." sqref="H27" xr:uid="{00000000-0002-0000-1200-000022000000}">
      <formula1>-1</formula1>
      <formula2>10</formula2>
    </dataValidation>
    <dataValidation allowBlank="1" showInputMessage="1" showErrorMessage="1" promptTitle="Bewirtschaftungskosten" prompt="Hier wird die eine Zusammenfassung deiner eingegebenen Bewirtschaftungskosten angezeigt." sqref="J8:K8" xr:uid="{00000000-0002-0000-1200-000023000000}"/>
    <dataValidation allowBlank="1" showInputMessage="1" showErrorMessage="1" promptTitle="Umlagefähige Kosten" prompt="Die Summe aller Kosten, die du als auf den Mieter umlagefähig eingegeben hast." sqref="K9" xr:uid="{00000000-0002-0000-1200-000024000000}"/>
    <dataValidation allowBlank="1" showInputMessage="1" showErrorMessage="1" promptTitle="Nicht umlagefähige Kosten" prompt="Die Summe aller Kosten, die du als nicht auf den Mieter umlagefähig eingegeben hast." sqref="K10" xr:uid="{00000000-0002-0000-1200-000025000000}"/>
    <dataValidation allowBlank="1" showInputMessage="1" showErrorMessage="1" promptTitle="Nicht umlagefähige Kosten" prompt="Welchen Anteil deiner Nettokaltmiete musst du aufwenden, um die nicht umlagefähigen Kosten zu decken. Je höher dieser Wert, desto weniger Geld bleibt dir für den Kapitaldienst bzw. Vermögensaufbau." sqref="K11" xr:uid="{00000000-0002-0000-1200-000026000000}"/>
    <dataValidation allowBlank="1" showInputMessage="1" showErrorMessage="1" promptTitle="Bewirtschaftungskosten insgesamt" prompt="Die Summe deiner umlagefähigen und nicht umlagefähigen Bewirtschaftungskosten." sqref="K12" xr:uid="{00000000-0002-0000-1200-000027000000}"/>
    <dataValidation allowBlank="1" showInputMessage="1" showErrorMessage="1" promptTitle="Hausgeld" prompt="Hier findest du die Summe des von dir eingegebenen umlagefähigen und nicht umlagefähigen Hausgeldes. Bei einer Eigentumswohnung sollte dies dem Betrag entsprechen, den du monatlich an die Hausverwaltung bezahlst." sqref="J14:K14" xr:uid="{00000000-0002-0000-1200-000028000000}"/>
    <dataValidation allowBlank="1" showInputMessage="1" showErrorMessage="1" promptTitle="Hausgeld insgesamt" prompt="Die Summe der von dir eingegebenen umlagefähigen und nicht umlagefähigen Hausgeldanteile." sqref="K15" xr:uid="{00000000-0002-0000-1200-000029000000}"/>
    <dataValidation type="decimal" operator="greaterThanOrEqual" allowBlank="1" showInputMessage="1" showErrorMessage="1" errorTitle="Hausgeld (umlagefähiger Anteil)" error="Bitte gib das Hausgeld in Euro ein pro Monat ein, bspw. 105. Der Wert darf nicht negativ sein." promptTitle="Hausgeld (umlagefähiger Anteil)" prompt="Gib hier die Höhe des umlagefähigen Anteils des Hausgeldes ein. Du findest dieses bspw. im aktuellen Wirtschaftsplan der Eigentumswohnung. Wenn du ein Mehrfamilienhaus kalkulierst, gib einfach 0 ein._x000a__x000a_Format: Euro pro Monat, bspw. 105." sqref="K18" xr:uid="{00000000-0002-0000-1200-00002A000000}">
      <formula1>0</formula1>
    </dataValidation>
    <dataValidation type="decimal" operator="greaterThanOrEqual" allowBlank="1" showInputMessage="1" showErrorMessage="1" errorTitle="Grundsteuer" error="Bitte gib die Grundsteuer in Euro pro Monat ein. Der Wert darf nicht negativ sein." promptTitle="Grundsteuer" prompt="Hier gibst du die festgesetzte Grundsteuer ein. Die Höhe hängt von der konkreten Immobilie und dem Bundesland ab. Du findest den Wert im Grundsteuerbescheid bzw. erfährst ihn ggf. vom Verkäufer._x000a__x000a_Format: Grundsteuer pro Monat in Euro, bspw. 12." sqref="K19" xr:uid="{00000000-0002-0000-1200-00002B000000}">
      <formula1>0</formula1>
    </dataValidation>
    <dataValidation allowBlank="1" showInputMessage="1" showErrorMessage="1" promptTitle="Sonstige umlagefähige Kosten" prompt="Die sonstigen umlagefähigen Kosten gibst du weiter unten im Detail ein. Hier findest du die Summe. Sonstige Kosten wirst du insbesondere bei der Kalkulation von Mehrfamilienhäusern abbilden (anstelle des Hausgeldes)." sqref="K20" xr:uid="{00000000-0002-0000-1200-00002C000000}"/>
    <dataValidation allowBlank="1" showInputMessage="1" showErrorMessage="1" promptTitle="Sonstige nicht umlagef. Kosten" prompt="Die sonstigen nicht umlagefähigen Kosten gibst du weiter unten im Detail ein. Hier findest du die Summe. Sonstige Kosten wirst du insbesondere bei der Kalkulation von Mehrfamilienhäusern abbilden (anstelle des Hausgeldes)." sqref="K28" xr:uid="{00000000-0002-0000-1200-00002D000000}"/>
    <dataValidation operator="greaterThanOrEqual" allowBlank="1" showInputMessage="1" errorTitle="Hausgeld (nicht umlagef. Anteil)" error="Bitte gib das Hausgeld pro Monat in Euro ein, bspw. 49. Der Wert darf nicht negativ sein." promptTitle="Hausgeld (nicht umlagef. Anteil)" prompt="Dies ist das nicht umlagefähige Hausgeld, das du im roten Faden festgelegt hast. Kehre zum roten Faden zurück, um diese anzupassen." sqref="K24" xr:uid="{00000000-0002-0000-1200-00002E000000}"/>
    <dataValidation type="decimal" operator="greaterThanOrEqual" allowBlank="1" showInputMessage="1" showErrorMessage="1" errorTitle="WEG Rücklage" error="Bitte gib die WEG Rücklage in Euro pro Monat ein. Der Wert darf nicht negativ sein." promptTitle="WEG Rücklage im Hausgeld" prompt="Welcher Anteil des Hausgeldes entfällt auf die Instandhalt.-Rückl. der Eigentümergemeinschaft (WEG-Rücklage). Zu finden bspw. im Wirtschaftsplan der Wohnung. Wenn du Mehrfamilienhaus kalkulierst, gib einfach 0 ein._x000a__x000a_Format: Euro pro Monat, bspw. 23." sqref="K25" xr:uid="{00000000-0002-0000-1200-00002F000000}">
      <formula1>0</formula1>
    </dataValidation>
    <dataValidation allowBlank="1" showInputMessage="1" showErrorMessage="1" promptTitle="Eigene Instandhaltungsrücklage" prompt="Deine monatliche eigene Instandhaltungsrücklage. Dieser Wert ergibt sich aus der Wohnfläche und der Rücklage pro m² und Jahr, die du im Bereich &quot;Rücklagen&quot; festgelegt hast." sqref="K26" xr:uid="{00000000-0002-0000-1200-000030000000}"/>
    <dataValidation allowBlank="1" showInputMessage="1" showErrorMessage="1" promptTitle="Kalkulatorischer Mietausfall" prompt="Deine monatliche Rücklage für den kalkulatorischen Mietausfall. Dieser Wert ergibt sich aus der prozentualen Rücklage, die du im Bereich &quot;Rücklagen&quot; festgelegt hast und der aktuellen Warmmiete." sqref="K27" xr:uid="{00000000-0002-0000-1200-000031000000}"/>
    <dataValidation allowBlank="1" showInputMessage="1" showErrorMessage="1" promptTitle="Summe nicht umlagefähige Kosten" prompt="Die Summe der nicht umlagefähigen Kosten. Diese Kosten mindern deinen monatlichen Überschuss und stehen nicht für den Kapitaldienst zur Verfügung." sqref="K29" xr:uid="{00000000-0002-0000-1200-000032000000}"/>
    <dataValidation allowBlank="1" showInputMessage="1" showErrorMessage="1" promptTitle="Summe umlagefähige Kosten" prompt="Die Summe der umlagefähigen Kosten. Diese werden zur Berechnung der Warmmiete auf die Nettokaltmiete aufgeschlagen." sqref="K21" xr:uid="{00000000-0002-0000-1200-000033000000}"/>
    <dataValidation type="decimal" operator="greaterThanOrEqual" allowBlank="1" showInputMessage="1" showErrorMessage="1" errorTitle="Sonstige umlagefähige Kosten" error="Bitte gib die Kosten in Euro pro Monat ein, bspw. 5. Der Wert darf nicht negativ sein." promptTitle="Sonstige umlagefähige Kosten" prompt="Hier gibst du den Betrag dieser Kostenposition ein._x000a__x000a_Format: Euro pro Monat, bspw. 5." sqref="K32:K36" xr:uid="{00000000-0002-0000-1200-000034000000}">
      <formula1>0</formula1>
    </dataValidation>
    <dataValidation type="decimal" operator="greaterThanOrEqual" allowBlank="1" showInputMessage="1" showErrorMessage="1" errorTitle="Sonstige nicht umlagef. Kosten" error="Bitte gib die Kosten in Euro pro Monat ein, bspw. 5. Der Wert darf nicht negativ sein." promptTitle="Sonstige nicht umlagef. Kosten" prompt="Hier gibst du den Betrag dieser Kostenposition ein._x000a__x000a_Format: Euro pro Monat, bspw. 5." sqref="K40:K44" xr:uid="{00000000-0002-0000-1200-000035000000}">
      <formula1>0</formula1>
    </dataValidation>
    <dataValidation allowBlank="1" showInputMessage="1" showErrorMessage="1" promptTitle="Sonstige umlagefähige Kosten" prompt="Hier gibst du die Bezeichnung der entsprechenden Kostenposition ein." sqref="J32:J35" xr:uid="{00000000-0002-0000-1200-000036000000}"/>
    <dataValidation allowBlank="1" showInputMessage="1" showErrorMessage="1" promptTitle="Sonstige nicht umlagef. Kosten" prompt="Hier gibst du die Bezeichnung der entsprechenden Kostenposition ein." sqref="J40:J43" xr:uid="{00000000-0002-0000-1200-000037000000}"/>
    <dataValidation allowBlank="1" showInputMessage="1" showErrorMessage="1" promptTitle="Sonstige umlagefähige Kosten" prompt="Hier gibst du die Details zu sonstigen umlagefähigen Kosten ein. Dies kannst du z.B. verwenden, wenn du keine Wohnung sondern ein komplettes Mehrfamilienhaus kalkulierst und die grobe Kostenstruktur abbilden möchtest." sqref="J31:K31" xr:uid="{00000000-0002-0000-1200-000038000000}"/>
    <dataValidation allowBlank="1" showInputMessage="1" showErrorMessage="1" promptTitle="Sonstige nicht umlagef. Kosten" prompt="Hier gibst du die Details zu sonstigen nicht umlagefähigen Kosten ein. Dies kanst du z.B. verwenden, wenn du keine Wohnung sondern ein komplettes Mehrfamilienhaus kalkulierst und die grobe Kostenstruktur abbilden möchtest." sqref="J39:K39" xr:uid="{00000000-0002-0000-1200-000039000000}"/>
    <dataValidation allowBlank="1" showInputMessage="1" showErrorMessage="1" promptTitle="Gesamt-Finanzierung" prompt="Hier findest du die Zusammenfassung deiner Finanzierung, die sich aus der Summe aller Darlehen ergibt." sqref="M8:N8" xr:uid="{00000000-0002-0000-1200-00003A000000}"/>
    <dataValidation allowBlank="1" showInputMessage="1" showErrorMessage="1" promptTitle="Darlehenssumme" prompt="Hier findest du die Gesamtsumme aller Darlehen." sqref="N9" xr:uid="{00000000-0002-0000-1200-00003B000000}"/>
    <dataValidation allowBlank="1" showInputMessage="1" showErrorMessage="1" promptTitle="Eigenkapital" prompt="Dieser Eigenkapital-Bedarf ergibt sich als Differenz aus deinen Gesamtinvestitionskosten und der Summe aller Darlehen." sqref="N10" xr:uid="{00000000-0002-0000-1200-00003C000000}"/>
    <dataValidation allowBlank="1" showInputMessage="1" showErrorMessage="1" promptTitle="Gewichteter Zinssatz" prompt="Dies ist der durchschnittliche Zinssatz, den du auf die Summe aller Darlehen bezahlst. Jedes Darlehen fließt bei der Berechnung im Verhältnis seiner Darlehenssumme zur Gesamtfinanzierung ein." sqref="N11" xr:uid="{00000000-0002-0000-1200-00003D000000}"/>
    <dataValidation allowBlank="1" showInputMessage="1" showErrorMessage="1" promptTitle="Anfängliche Tilgung gewichtet" prompt="Dies ist die durchschnittliche anfängliche Tilgung, die du auf die Summe aller Darlehen leistest. Jedes Darlehen fließt bei der Berechnung im Verhältnis seiner Darlehenssumme zur Gesamtfinanzierung ein." sqref="N12" xr:uid="{00000000-0002-0000-1200-00003E000000}"/>
    <dataValidation allowBlank="1" showInputMessage="1" showErrorMessage="1" promptTitle="Kapitaldienst pro Monat" prompt="Dies ist der Kapitaldienst, den du für alle Darlehen zusammen pro Monat leisten musst." sqref="N13" xr:uid="{00000000-0002-0000-1200-00003F000000}"/>
    <dataValidation operator="greaterThanOrEqual" allowBlank="1" showInputMessage="1" errorTitle="Darlehenssumme vom Kaufpreis" error="Bitte gib die Darlehenssumme in % des Kaufpreises ein, bspw. 80%. Der Wert darf nicht negativ sein." promptTitle="Darlehenssumme vom Kaufpreis" prompt="Dies ist die Darlehenshöhe, die du im roten Faden festgelegt hast. Kehre zum roten Faden zurück, um diesen anzupassen." sqref="N16" xr:uid="{00000000-0002-0000-1200-000040000000}"/>
    <dataValidation type="decimal" operator="greaterThanOrEqual" allowBlank="1" showInputMessage="1" showErrorMessage="1" errorTitle="Darlehenssumme" error="Bitte gib die Darlehenssumme in Euro als Zahl ein, bspw. 44000. Der Wert darf nicht negativ sein." promptTitle="Darlehenssumme" prompt="Hier gibst du die Darlehenssumme für dieses Darlehen ein. Wenn du ein Darlehen nicht verwenden möchtest, gib einfach eine 0 ein._x000a__x000a_Format: Euro als Zahl, bspw. 44000." sqref="N24" xr:uid="{00000000-0002-0000-1200-000041000000}">
      <formula1>0</formula1>
    </dataValidation>
    <dataValidation operator="greaterThanOrEqual" allowBlank="1" showInputMessage="1" errorTitle="Darlehenssumme" error="Bitte gib die Darlehenssumme in Euro als Zahl ein, bspw. 44000. Der Wert darf nicht negativ sein." promptTitle="Darlehenssumme" prompt="Dies ist die Darlehenssumme, die sich aus der Prozent-Zahl ergibt, die du im roten Faden festgelegt hast. Kehre zum roten Faden zurück, um diesen anzupassen." sqref="N17" xr:uid="{00000000-0002-0000-1200-000042000000}"/>
    <dataValidation type="decimal" operator="greaterThanOrEqual" allowBlank="1" showInputMessage="1" showErrorMessage="1" errorTitle="Zinssatz" error="Bitte gib den Zinssatz in % pro Jahr ein, bspw. 1,30%. Der Wert darf nicht negativ sein." promptTitle="Zinssatz" prompt="Hier gibst du den efektiven Zinssatz pro Jahr ein, mit dem dieses Darlehen berechnet werden soll._x000a__x000a_Format: Effektiver Jahreszins in %, bspw. 1,30%." sqref="N25" xr:uid="{00000000-0002-0000-1200-000043000000}">
      <formula1>0</formula1>
    </dataValidation>
    <dataValidation type="decimal" operator="greaterThanOrEqual" allowBlank="1" showInputMessage="1" showErrorMessage="1" errorTitle="Anfängliche Tilgung" error="Bitte gib die anfängliche Tilgung in % ein, bspw. 2,00%. Der Wert darf nicht negativ sein." promptTitle="Anfängliche Tilgung" prompt="Hier gibst du die anfängliche Tilgung pro Jahr ein, mit der dieses Darlehen berechnet werden soll. Für ein endfälliges Darlehen gib 0% ein und bilde die Tilgung im Darlehensverlauf ab._x000a__x000a_Format: Anfängliche Tilgung in %, bspw. 2,00%." sqref="N26" xr:uid="{00000000-0002-0000-1200-000044000000}">
      <formula1>0</formula1>
    </dataValidation>
    <dataValidation allowBlank="1" showInputMessage="1" showErrorMessage="1" promptTitle="Kapitaldienst pro Monat" prompt="Dies ist der Kapitaldienst, den du für dieses Darlehen pro Monat leisten musst." sqref="N20 N27" xr:uid="{00000000-0002-0000-1200-000045000000}"/>
    <dataValidation allowBlank="1" showInputMessage="1" showErrorMessage="1" promptTitle="Jahr der Volltilgung" prompt="Dies ist das Jahr, in dem dieses Darlehen eine Restschuld von 0 erreicht und damit vollständig getilgt ist. Je nach Kapitaldienst des Darlehens kannst du ab dem Folgejahr eine deutliche Verbesserung des Cashflows erwarten." sqref="N21 N28" xr:uid="{00000000-0002-0000-1200-000046000000}"/>
    <dataValidation allowBlank="1" showInputMessage="1" promptTitle="Darlehen" prompt="Hier kannst du ein zweites Darlehen einplanen und damit das Darlehen aus dem roten Faden ergänzen." sqref="M23:N23" xr:uid="{00000000-0002-0000-1200-000047000000}"/>
    <dataValidation allowBlank="1" showInputMessage="1" showErrorMessage="1" promptTitle="Vermögenszuwachs" prompt="Hier erfährst du, welchen jährlichen Vermögenszuwachs du mit deiner Immobilie zu Beginn erwirtschaftest." sqref="P8:Q8" xr:uid="{00000000-0002-0000-1200-000048000000}"/>
    <dataValidation allowBlank="1" showInputMessage="1" showErrorMessage="1" promptTitle="Vermögenszuwachs p.a." prompt="Dies ist dein Vermögenszuwachs der ersten 12 Monate. Er setzt sich zusammen aus der Wertsteigerung, der Tilgung und dem Cashflow nach Steuern. Es handelt sich damit um einen Vermögenszuwachs nach Steuern." sqref="Q9" xr:uid="{00000000-0002-0000-1200-000049000000}"/>
    <dataValidation allowBlank="1" showInputMessage="1" showErrorMessage="1" promptTitle="Vermögenszuwachs ohne Wertsteig." prompt="Dieser Wert zeigt dir, welcher Teil deines Vermögenszuwaches aus laufenden Erträgen (Miete bzw. Tilgung und Cashflow) entsteht." sqref="Q10" xr:uid="{00000000-0002-0000-1200-00004A000000}"/>
    <dataValidation allowBlank="1" showInputMessage="1" showErrorMessage="1" promptTitle="Miete und Mietrendite" prompt="Hier erfährst du Details zu deinen jährlichen Mieteinnahmen und üblichen Mietrendite-Kennzahlen." sqref="P12:Q12" xr:uid="{00000000-0002-0000-1200-00004B000000}"/>
    <dataValidation allowBlank="1" showInputMessage="1" showErrorMessage="1" promptTitle="Nettokaltmiete pro Jahr" prompt="Dies ist eine jährliche Nettokaltmiete." sqref="Q13" xr:uid="{00000000-0002-0000-1200-00004C000000}"/>
    <dataValidation allowBlank="1" showInputMessage="1" showErrorMessage="1" promptTitle="Bruttomietrendite" prompt="Dies ist deine anfängliche Bruttomietrendite. Sie entspricht der jährlichen Nettokaltmiete geteilt durch den Kaufpreis.  Die Farbskala kannst du über das Zahnrad Symbol weiter oben anpassen." sqref="Q14" xr:uid="{00000000-0002-0000-1200-00004D000000}"/>
    <dataValidation allowBlank="1" showInputMessage="1" showErrorMessage="1" promptTitle="Nettomietrendite" prompt="Dies ist deine anfängliche Nettomietrendite. Sie entspricht der jährlichen Nettokaltmiete abzgl. nicht umlagefähiger Kosten geteilt durch die Gesamtinvestitionskosten. Die Farbskala kannst du über das Zahnrad Symbol weiter oben anpassen." sqref="Q16" xr:uid="{00000000-0002-0000-1200-00004E000000}"/>
    <dataValidation allowBlank="1" showInputMessage="1" showErrorMessage="1" promptTitle="Faktor" prompt="Der Kaufpreisfaktor ist der Kehrwert der Bruttomietrendite. Er sagt aus, wie vielen Jahres-Nettokaltmieten der Kaufpreis entspricht und ist ein gebräuchlicher Wert, um Preisniveaus von Immobilienmärkten miteinander zu vergleichen." sqref="Q15" xr:uid="{00000000-0002-0000-1200-00004F000000}"/>
    <dataValidation allowBlank="1" showInputMessage="1" showErrorMessage="1" promptTitle="Cashflow pro Monat (Überschuss)" prompt="Hier findest du die Berechnung deines monatlichen Cashflows, also deines Überschusses der Mieteinnahmen über deine Kosten. Ein negativer Cashflow bedeutet, dass du jeden Monat Geld dazuschießen musst." sqref="P18:Q18" xr:uid="{00000000-0002-0000-1200-000050000000}"/>
    <dataValidation allowBlank="1" showInputMessage="1" showErrorMessage="1" promptTitle="Cashflow pro Monat (Überschuss)" prompt="Hier findest du die Hochrechnung deines monatlichen Cashflows, also deines Überschusses der Mieteinnahmen über deine Kosten. Ein negativer Cashflow bedeutet, dass du jeden Monat Geld dazuschießen musst." sqref="S18:T18" xr:uid="{00000000-0002-0000-1200-000051000000}"/>
    <dataValidation allowBlank="1" showInputMessage="1" showErrorMessage="1" promptTitle="Warmmiete" prompt="Die Cashflow Berechnung beginnt mit der Warmmiete." sqref="Q19 T19" xr:uid="{00000000-0002-0000-1200-000052000000}"/>
    <dataValidation allowBlank="1" showInputMessage="1" showErrorMessage="1" promptTitle="Bewirtschaftungskosten" prompt="Die Bewirtschaftungskosten bezahlst du aus der Warmmiete und sie mindern somit deinen Cashflow." sqref="Q20 T20" xr:uid="{00000000-0002-0000-1200-000053000000}"/>
    <dataValidation allowBlank="1" showInputMessage="1" showErrorMessage="1" promptTitle="Zinsen" prompt="Die Zinsen bezahlst du aus deiner Miete. Sie mindern somit deinen Cashflow." sqref="Q21 T21" xr:uid="{00000000-0002-0000-1200-000054000000}"/>
    <dataValidation allowBlank="1" showInputMessage="1" showErrorMessage="1" promptTitle="Tilgung" prompt="Die Tilgung bezahlst du aus deiner Miete. Tilgung stellt für dich zwar Vermögensaufbau dar, das Geld ist allerdings bei der Bank (im Darlehen) gebunden. Sie mindert somit deinen verfügbaren Cashflow." sqref="T22 Q22" xr:uid="{00000000-0002-0000-1200-000055000000}"/>
    <dataValidation allowBlank="1" showInputMessage="1" showErrorMessage="1" promptTitle="Cashflow operativ" prompt="Dies ist der Cashflow vor Steuern. Ein hoher operativer Cashflow kann dazu führen, dass sich auf dem Mietkonto viel Geld ansammelt. Hiervon müssen allerdings noch Steuern gezahlt werden. Die Farbskala kann über das Zahnrad (oben) angepasst werden." sqref="Q23 T23" xr:uid="{00000000-0002-0000-1200-000056000000}"/>
    <dataValidation allowBlank="1" showInputMessage="1" showErrorMessage="1" promptTitle="Steuern" prompt="Dies sind die Steuern, die sich aus der &quot;Nebenrechnung Steuer&quot; weiter unten ergeben haben. Die Steuern fallen in der Regel zeitversetzt und jährlich an. Der Vergleichbarkeit halber siehst du sie hier allerdings als Monatswert." sqref="Q24 T24" xr:uid="{00000000-0002-0000-1200-000057000000}"/>
    <dataValidation allowBlank="1" showInputMessage="1" showErrorMessage="1" promptTitle="Nebenrechnung Steuer" prompt="Hier wird durch eine Nebenrechnung die rechnerische monatliche Steuerbelastung ermittelt, um daraus den Cashflow nach Steuern ableiten zu können." sqref="P27:Q27 S27:T27" xr:uid="{00000000-0002-0000-1200-000058000000}"/>
    <dataValidation allowBlank="1" showInputMessage="1" showErrorMessage="1" promptTitle="Warmmiete" prompt="Die Berechnung der Steuer beginnt mit der Warmmiete." sqref="Q28 T28" xr:uid="{00000000-0002-0000-1200-000059000000}"/>
    <dataValidation allowBlank="1" showInputMessage="1" showErrorMessage="1" promptTitle="Bewirt.-Kosten ohne eigene Rückl" prompt="Bewirtschaftungskosten mindern die Besteuerungsbasis. _x000a__x000a_Ausnahme: Eigene Rücklagen, da dieses Geld ja &quot;verdient&quot; ist und nur auf einem anderen Konto liegt. Steuermindernd erst bei Ausgabe._x000a__x000a_Annahme für WEG Rücklage: Steuermindernd, da jährlich verwendet." sqref="Q29 T29" xr:uid="{00000000-0002-0000-1200-00005A000000}"/>
    <dataValidation allowBlank="1" showInputMessage="1" showErrorMessage="1" promptTitle="Zinsen" prompt="Zinsen mindern bei vermieteten Immobilien die Besteuerungsbasis." sqref="Q30 T30" xr:uid="{00000000-0002-0000-1200-00005B000000}"/>
    <dataValidation allowBlank="1" showInputMessage="1" showErrorMessage="1" promptTitle="Abschreibung (AfA)" prompt="Der Gebäudeanteil der Anschaffungskosten (Kaufpreis + Kaufnebenkosten) sowie steuerlich aktivierte Investitionen werden langfristig abgeschrieben. Obwohl kein Geld fließt, darf jedes Jahr ein Teil davon steuerlich als Aufwand berücksichtigt werden." sqref="T31 Q31" xr:uid="{00000000-0002-0000-1200-00005C000000}"/>
    <dataValidation allowBlank="1" showInputMessage="1" showErrorMessage="1" promptTitle="Zu versteuernder Cashflow" prompt="Nach Abzug der steuermindern wirksamen Kosten bleibt steuerlich dieser Betrag als &quot;Gewinn&quot; übrig. Dieser ist im Rahmen der Einkommensteuererklärung zu versteuern. Die Tilgung kann steuerlich nicht abgezogen werden, da sie Vermögenszuwachs darstellt." sqref="Q32 T32" xr:uid="{00000000-0002-0000-1200-00005D000000}"/>
    <dataValidation allowBlank="1" showInputMessage="1" showErrorMessage="1" promptTitle="Steuern" prompt="Die fälligen Steuern errechnen sich aus der Multiplikation des zu versteuernden Cashflows mit dem persönlichen Grenzsteuersatz._x000a__x000a_Es handelt sich hierbei um eine Nährung für die wir keine Gewähr übernehmen." sqref="Q34 T34" xr:uid="{00000000-0002-0000-1200-00005E000000}"/>
    <dataValidation allowBlank="1" showInputMessage="1" showErrorMessage="1" promptTitle="Cashflow nach Steuern" prompt="Dies ist der monatliche Cashflow bzw. Überschuss nach Steuern._x000a__x000a_Die Farbskala kann über das Zahnrad (oben) angepasst werden._x000a__x000a_Bitte beachte, dass wir für dieses Ergebnis natürlich keinerlei Gewähr oder Haftung übernehmen können." sqref="T25 Q25" xr:uid="{00000000-0002-0000-1200-00005F000000}"/>
    <dataValidation allowBlank="1" showInputMessage="1" showErrorMessage="1" promptTitle="Eigenkapitalrendite" prompt="Hier findest du Informationen zur Eigenkapitalrendite deiner Immobilien-Investition." sqref="P36:Q36" xr:uid="{00000000-0002-0000-1200-000060000000}"/>
    <dataValidation allowBlank="1" showInputMessage="1" showErrorMessage="1" promptTitle="Eigenkapitalrendite p.a." prompt="Dies ist die Eigenkapitalrendite der Investition im Jahr 1. Sie errechnet sich aus dem Vermögensaufbau (Tilgung, Cashflow nach Steuern und Wertsteigerung) bezogen auf das eingesetzte Eigenkapital._x000a__x000a_Die Farbskala kannst du über das Zahnrad (oben) anpassen." sqref="Q37" xr:uid="{00000000-0002-0000-1200-000061000000}"/>
    <dataValidation allowBlank="1" showInputMessage="1" showErrorMessage="1" promptTitle="Eigenkapitalren. ohne Wertsteig." prompt="Dies ist die Eigenkapitalrendite der Investition im Jahr 1 - allerdings ohne Berücksichtigung der Wertsteigerung. Es werden also nur Tilgung und Cashflow nach Steuern gezählt." sqref="Q38" xr:uid="{00000000-0002-0000-1200-000062000000}"/>
    <dataValidation allowBlank="1" showInputMessage="1" showErrorMessage="1" promptTitle="Betrachtungszeitpunkt" prompt="Alle Kennzahlen in dieser Spalte beziehen sich auf auf einen Zeitpunkt in der Zukunft. In diesem Bereich legst du fest, für welches Jahr (in der Zukunft) du die Werte berechnen und anzeigen lassen möchtest." sqref="S8:T8" xr:uid="{00000000-0002-0000-1200-000063000000}"/>
    <dataValidation allowBlank="1" showInputMessage="1" showErrorMessage="1" promptTitle="entspricht Jahre nach dem Kauf" prompt="Das ausgewählte Jahr entspricht dieser Anzahl von Jahren ab dem Kaufdatum." sqref="T10" xr:uid="{00000000-0002-0000-1200-000064000000}"/>
    <dataValidation allowBlank="1" showInputMessage="1" showErrorMessage="1" promptTitle="Miete und Wert" prompt="Hier findest du eine Hochrechnung für deine Mieteinnahmen und den Wert deiner Immobilie zum oben ausgewählten Zeitpunkt in der Zukunft." sqref="S12:T12" xr:uid="{00000000-0002-0000-1200-000065000000}"/>
    <dataValidation allowBlank="1" showInputMessage="1" showErrorMessage="1" promptTitle="Nettokaltmiete pro Jahr" prompt="Aus der monatlichen Miete ergibt sich diese jährliche Nettokaltmiete." sqref="T13:T14" xr:uid="{00000000-0002-0000-1200-000066000000}"/>
    <dataValidation allowBlank="1" showInputMessage="1" showErrorMessage="1" promptTitle="Nettokaltmiete pro qm und Monat" prompt="Die errechnete monatliche Kaltmiete entspricht dieser Miete pro m² Wohnfläche." sqref="T14" xr:uid="{00000000-0002-0000-1200-000067000000}"/>
    <dataValidation allowBlank="1" showInputMessage="1" showErrorMessage="1" promptTitle="Wert der Immobilie" prompt="Dies ist der Wert deiner Immobilie zum ausgewählten Zeitpunkt in der Zukunft. Du kannst dir Details zur Berechnung und die Zahlenreihe dazu auf dem eigenen Tabellenblatt ansehen." sqref="T15" xr:uid="{00000000-0002-0000-1200-000068000000}"/>
    <dataValidation allowBlank="1" showInputMessage="1" showErrorMessage="1" promptTitle="Wert der Immobilie pro qm" prompt="Der errechnete Wert der Immobilie entspricht diesem Wert pro Quadratmeter Wohnfläche." sqref="T16" xr:uid="{00000000-0002-0000-1200-000069000000}"/>
    <dataValidation allowBlank="1" showInputMessage="1" showErrorMessage="1" promptTitle="Zinsänderungsrisiko" prompt="Hier erfährst du, welchen durchschnittlichen Zinssatz du dir zum Betrachtungszeitpunkt leisten kannst, um nach Steuern &quot;eine schwarze Null zu schreiben&quot;. Tipp: Überprüfe, welchen Zins du dir am Ende der Zinsbindung des Hauptdarlehens leisten kannst." sqref="S36:T36" xr:uid="{00000000-0002-0000-1200-00006A000000}"/>
    <dataValidation allowBlank="1" showInputMessage="1" showErrorMessage="1" promptTitle="Zinsen für CF0 nach Steuern" prompt="Diese Zinsen kannst du dir im betrachteten Jahr monatlich leisten, um einen Cashflow nach Steuern von genau 0 zu erzielen." sqref="T37" xr:uid="{00000000-0002-0000-1200-00006B000000}"/>
    <dataValidation allowBlank="1" showInputMessage="1" showErrorMessage="1" promptTitle="Zinssatz gewichtet" prompt="Die errechneten Zinsen entsprechen bezogen auf deine Restschuld (am Jahresanfang) diesem Zinssatz. Du kannst dir also diesen durchschnittlichen Zinssatz auf alle deine Darlehen leisten, ohne in den Bereich negativen Cashflows nach Steuern zu fallen." sqref="T38" xr:uid="{00000000-0002-0000-1200-00006C000000}"/>
    <dataValidation allowBlank="1" showInputMessage="1" showErrorMessage="1" promptTitle="Objekt und Investition" prompt="In diesem Bereich gibst du Daten zum Objekt und deinen Investitionen ein." sqref="B6:E6" xr:uid="{00000000-0002-0000-1200-00006D000000}"/>
    <dataValidation allowBlank="1" showInputMessage="1" showErrorMessage="1" promptTitle="Miete, Steuern und Rücklagen" prompt="In diesem Bereich erfasst du die Mieteinnahmen, Grundlagen zur Steuerberechnung und deine eigenen Rücklagen. Außerdem erfasst du einige Parameter für die Hochschätzung von Zahlen für die Zukunft." sqref="G6:H6" xr:uid="{00000000-0002-0000-1200-00006E000000}"/>
    <dataValidation allowBlank="1" showInputMessage="1" showErrorMessage="1" promptTitle="Bewirtschaftungskosten" prompt="In diesem Bereich erfasst du die Kostenstruktur der Immobilie." sqref="J6:K6" xr:uid="{00000000-0002-0000-1200-00006F000000}"/>
    <dataValidation allowBlank="1" showInputMessage="1" showErrorMessage="1" promptTitle="Finanzierung" prompt="In diesem Bereich erfasst du deine Darlehen. Außerdem erhältst du wichtige Kennzahlen zu deiner Finanzierung." sqref="M6:N6" xr:uid="{00000000-0002-0000-1200-000070000000}"/>
    <dataValidation allowBlank="1" showInputMessage="1" showErrorMessage="1" promptTitle="Kennzahlen heute" prompt="In diesem Bereich findest du viele wichtige Kennzahlen, insbesondere auch deinen monatlichen Cashflow (Überschuss). Die Berechnungen erfolgen für das &quot;Jahr 1 nach dem Kauf&quot;." sqref="P6:Q6" xr:uid="{00000000-0002-0000-1200-000071000000}"/>
    <dataValidation allowBlank="1" showInputMessage="1" showErrorMessage="1" promptTitle="Kennzahlen in der Zukunft" prompt="In diesem Bereich findest du viele wichtige Kennzahlen, insbesondere auch deinen monatlichen Cashflow (Überschuss). _x000a__x000a_Die Berechnungen erfolgen für ein beliebiges Jahr in der Zukunft, das du selbst auswähst." sqref="S6:T6" xr:uid="{00000000-0002-0000-1200-000072000000}"/>
    <dataValidation type="date" showInputMessage="1" showErrorMessage="1" errorTitle="Bitte gib ein gültiges Datum ein" error="Bitte gib ein gültiges Datum zwischen dem 01.01.1900 und 31.12.2199 ein. Wenn du das Kaufdatum noch nicht kennst, gib einfach den 1. Januar des aktuellen Jahres ein, um den Tool alle Berechnungen zu ermöglichen." promptTitle="Kaufdatum" prompt="Hier gibst du das Kaufdatum ein. Dieses wird an vielen Stellen im Tool verwendet und bestimmt auch, mit welchem Jahr alle Zeitverläufe beginnen etc. Rechnerisch beginnen alle Darlehen, Wertentwicklungen usw. am 1. Januar des Jahres, das du hier eingibst." sqref="C10" xr:uid="{00000000-0002-0000-1200-000073000000}">
      <formula1>1</formula1>
      <formula2>109574</formula2>
    </dataValidation>
    <dataValidation allowBlank="1" showInputMessage="1" showErrorMessage="1" promptTitle="Kürzel" prompt="Hier kannst du bei Bedarf ein Kürzel eingeben, mit dem du dieses Objekt intern benennst._x000a__x000a_Zum Beispiel eine Kombination der ersten zwei Buchstaben von Stadt und Straße + Hausnummer." sqref="E10" xr:uid="{00000000-0002-0000-1200-000074000000}"/>
    <dataValidation allowBlank="1" showInputMessage="1" showErrorMessage="1" promptTitle="Tabelle entsperren" prompt="Alle Formeln + Diagramme sind zu deinem Schutz gegen versehentliche Veränderung geschützt. Alle Eingabefelder sind hellgrün formatiert._x000a__x000a_Um die Tabelle zu entsperren (jedes Blatt einzeln), verwende dieses Kennwort ohne Anführungszeichen: &quot;frei_editieren&quot;" sqref="P1:Q3" xr:uid="{00000000-0002-0000-1200-000075000000}"/>
    <dataValidation operator="greaterThanOrEqual" allowBlank="1" showInputMessage="1" errorTitle="Zinssatz" error="Bitte gib den Zinssatz in % pro Jahr ein, bspw. 1,30%. Der Wert darf nicht negativ sein." promptTitle="Zinssatz" prompt="Dies ist der Zinssatz, den du im roten Faden festgelegt hast. Kehre zum roten Faden zurück, um diesen anzupassen." sqref="N18" xr:uid="{00000000-0002-0000-1200-000076000000}"/>
    <dataValidation operator="greaterThanOrEqual" allowBlank="1" showInputMessage="1" errorTitle="Anfängliche Tilgung" error="Bitte gib die anfängliche Tilgung in % ein, bspw. 2,00%. Der Wert darf nicht negativ sein." promptTitle="Anfängliche Tilgung" prompt="Dies ist die anfängliche Tilgung, die du im roten Faden festgelegt hast. Kehre zum roten Faden zurück, um diesen anzupassen." sqref="N19" xr:uid="{00000000-0002-0000-1200-000077000000}"/>
    <dataValidation allowBlank="1" showInputMessage="1" showErrorMessage="1" promptTitle="Darlehen" prompt="Dieses Darlehen legst du im roten Faden fest." sqref="M15:N15" xr:uid="{00000000-0002-0000-1200-000078000000}"/>
    <dataValidation allowBlank="1" showInputMessage="1" errorTitle="Persönlicher Grenzsteuersatz" error="Bitte den Grenzsteuersatz in % eingeben, bspw. 42%. Der Steuersatz muss zwischen 0% und 100% liegen." promptTitle="Persönlicher Grenzsteuersatz" prompt="Mit diesem Steuersatz wird die Steuer berechnet. Du hast ihn im roten Faden festgelegt. Bitte kehre dorthin zurück, um ihn zu ändern." sqref="Q33" xr:uid="{00000000-0002-0000-1200-000079000000}"/>
    <dataValidation type="decimal" allowBlank="1" showInputMessage="1" showErrorMessage="1" errorTitle="Persönlicher Grenzsteuersatz" error="Bitte den Grenzsteuersatz in % eingeben, bspw. 42%. Der Steuersatz muss zwischen 0% und 100% liegen." promptTitle="Persönlicher Grenzsteuersatz" prompt="Hier kannst du bei Bedarf den Steuersatz für die Hochrechnung überschreiben. Zum Beispiel, wenn du da schon in Rente bist und deshalb deutlich weniger Einkommen zu versteuern hast." sqref="T33" xr:uid="{00000000-0002-0000-1200-00007A000000}">
      <formula1>0</formula1>
      <formula2>1</formula2>
    </dataValidation>
    <dataValidation operator="greaterThanOrEqual" allowBlank="1" showInputMessage="1" errorTitle="Anfängliche Inv. - Kosten" error="Bitte gib die Kosten in Euro ein, bspw. 3000. Der Wert darf nicht negativ sein." promptTitle="Maßnahmen &quot;sofort nach Kauf&quot;" prompt="Diese Kosten hast du im roten Faden für Maßnahmen sofort nach dem Kauf eingeplant. Bitte kehre dorthin zurück, um sie zu ändern." sqref="C25" xr:uid="{00000000-0002-0000-1200-00007B000000}"/>
    <dataValidation allowBlank="1" showInputMessage="1" promptTitle="Maßnahmen &quot;sofort nach Kauf&quot;" prompt="In dieser Zeile findest du die Kosten, die du im roten Faden für Maßnahmen sofort nach dem Kauf eingeplant hast. Bitte kehre dorthin zurück, um sie zu ändern." sqref="B25" xr:uid="{00000000-0002-0000-1200-00007C000000}"/>
    <dataValidation allowBlank="1" showInputMessage="1" showErrorMessage="1" promptTitle="Sonderumlagen" prompt="In dieser Zeile findest du die Kosten, die du im roten Faden Sonderumlagen eingeplant hast. Bitte kehre dorthin zurück, um sie zu ändern." sqref="B26" xr:uid="{00000000-0002-0000-1200-00007D000000}"/>
    <dataValidation type="decimal" operator="greaterThanOrEqual" allowBlank="1" showInputMessage="1" showErrorMessage="1" errorTitle="Anfängliche Inv. - Kosten" error="Bitte gib die Kosten in Euro ein, bspw. 3000. Der Wert darf nicht negativ sein." promptTitle="Sonderumlagen" prompt="Diese Kosten hast du im roten Faden für Sonderumlagen eingeplant. Bitte kehre dorthin zurück, um sie zu ändern." sqref="C26" xr:uid="{00000000-0002-0000-1200-00007E000000}">
      <formula1>0</formula1>
    </dataValidation>
    <dataValidation allowBlank="1" showInputMessage="1" showErrorMessage="1" promptTitle="Garage" prompt="Diese Eingabe hast du im roten Faden gemacht. Kehre dorthin zurück, um sie zu ändern." sqref="E11" xr:uid="{00000000-0002-0000-1200-00007F000000}"/>
  </dataValidations>
  <hyperlinks>
    <hyperlink ref="J1:K3" location="'Kennzahlen im Verlauf'!A1" display="Kennzahlen im Verlauf" xr:uid="{00000000-0004-0000-1200-000000000000}"/>
    <hyperlink ref="M1:M3" location="Diagramme!A1" display="Diagramme" xr:uid="{00000000-0004-0000-1200-000001000000}"/>
    <hyperlink ref="G1:H3" location="Bankgespräch!A1" display="Bankgespräch" xr:uid="{00000000-0004-0000-1200-000002000000}"/>
    <hyperlink ref="B48" location="Deckblatt!A1" display="Keine Gewähr für die Richtigkeit der Angaben. Dieses Tool ersetzt keine fundierte Rechts-, Steuer- oder Finanzberatung. Mehr Details hier." xr:uid="{00000000-0004-0000-1200-000003000000}"/>
    <hyperlink ref="S1:T3" location="'Profi Funktionen'!A1" display="Profi Funktionen" xr:uid="{00000000-0004-0000-1200-000004000000}"/>
    <hyperlink ref="C1:D3" location="'Roter Faden'!A1" display="Roter Faden" xr:uid="{00000000-0004-0000-1200-000005000000}"/>
  </hyperlinks>
  <pageMargins left="0.25" right="0.25" top="0.75" bottom="0.75" header="0.3" footer="0.3"/>
  <pageSetup paperSize="9" scale="74" fitToWidth="2" orientation="landscape" r:id="rId1"/>
  <drawing r:id="rId2"/>
  <extLst>
    <ext xmlns:x14="http://schemas.microsoft.com/office/spreadsheetml/2009/9/main" uri="{78C0D931-6437-407d-A8EE-F0AAD7539E65}">
      <x14:conditionalFormattings>
        <x14:conditionalFormatting xmlns:xm="http://schemas.microsoft.com/office/excel/2006/main">
          <x14:cfRule type="colorScale" priority="13" id="{892A017E-E8A2-47A2-BBF2-A1FB1F8EC60E}">
            <x14:colorScale>
              <x14:cfvo type="num">
                <xm:f>Konfiguration!$E$8</xm:f>
              </x14:cfvo>
              <x14:cfvo type="num">
                <xm:f>Konfiguration!$D$8</xm:f>
              </x14:cfvo>
              <x14:cfvo type="num">
                <xm:f>Konfiguration!$C$8</xm:f>
              </x14:cfvo>
              <x14:color rgb="FFF8696B"/>
              <x14:color rgb="FFFFEB84"/>
              <x14:color rgb="FF63BE7B"/>
            </x14:colorScale>
          </x14:cfRule>
          <xm:sqref>Q14</xm:sqref>
        </x14:conditionalFormatting>
        <x14:conditionalFormatting xmlns:xm="http://schemas.microsoft.com/office/excel/2006/main">
          <x14:cfRule type="colorScale" priority="12" id="{75B8F52D-EFC9-4340-A672-13A534C1EF48}">
            <x14:colorScale>
              <x14:cfvo type="num">
                <xm:f>Konfiguration!$E$11</xm:f>
              </x14:cfvo>
              <x14:cfvo type="num">
                <xm:f>Konfiguration!$D$11</xm:f>
              </x14:cfvo>
              <x14:cfvo type="num">
                <xm:f>Konfiguration!$C$11</xm:f>
              </x14:cfvo>
              <x14:color rgb="FFF8696B"/>
              <x14:color rgb="FFFFEB84"/>
              <x14:color rgb="FF63BE7B"/>
            </x14:colorScale>
          </x14:cfRule>
          <xm:sqref>Q23</xm:sqref>
        </x14:conditionalFormatting>
        <x14:conditionalFormatting xmlns:xm="http://schemas.microsoft.com/office/excel/2006/main">
          <x14:cfRule type="colorScale" priority="8" id="{F81AFCE1-3479-48F1-8B3A-B00488717A60}">
            <x14:colorScale>
              <x14:cfvo type="num">
                <xm:f>Konfiguration!$E$12</xm:f>
              </x14:cfvo>
              <x14:cfvo type="num">
                <xm:f>Konfiguration!$D$12</xm:f>
              </x14:cfvo>
              <x14:cfvo type="num">
                <xm:f>Konfiguration!$C$12</xm:f>
              </x14:cfvo>
              <x14:color rgb="FFF8696B"/>
              <x14:color rgb="FFFFEB84"/>
              <x14:color rgb="FF63BE7B"/>
            </x14:colorScale>
          </x14:cfRule>
          <xm:sqref>Q25</xm:sqref>
        </x14:conditionalFormatting>
        <x14:conditionalFormatting xmlns:xm="http://schemas.microsoft.com/office/excel/2006/main">
          <x14:cfRule type="colorScale" priority="11" id="{9FBB83FD-1E42-474B-B604-3CF541C46166}">
            <x14:colorScale>
              <x14:cfvo type="num">
                <xm:f>Konfiguration!$E$10</xm:f>
              </x14:cfvo>
              <x14:cfvo type="num">
                <xm:f>Konfiguration!$D$10</xm:f>
              </x14:cfvo>
              <x14:cfvo type="num">
                <xm:f>Konfiguration!$C$10</xm:f>
              </x14:cfvo>
              <x14:color rgb="FFF8696B"/>
              <x14:color rgb="FFFFEB84"/>
              <x14:color rgb="FF63BE7B"/>
            </x14:colorScale>
          </x14:cfRule>
          <xm:sqref>Q37</xm:sqref>
        </x14:conditionalFormatting>
        <x14:conditionalFormatting xmlns:xm="http://schemas.microsoft.com/office/excel/2006/main">
          <x14:cfRule type="colorScale" priority="6" id="{84F2320F-2942-4FAC-AEED-CEA67E1F45AC}">
            <x14:colorScale>
              <x14:cfvo type="num">
                <xm:f>Konfiguration!$E$11</xm:f>
              </x14:cfvo>
              <x14:cfvo type="num">
                <xm:f>Konfiguration!$D$11</xm:f>
              </x14:cfvo>
              <x14:cfvo type="num">
                <xm:f>Konfiguration!$C$11</xm:f>
              </x14:cfvo>
              <x14:color rgb="FFF8696B"/>
              <x14:color rgb="FFFFEB84"/>
              <x14:color rgb="FF63BE7B"/>
            </x14:colorScale>
          </x14:cfRule>
          <xm:sqref>T23</xm:sqref>
        </x14:conditionalFormatting>
        <x14:conditionalFormatting xmlns:xm="http://schemas.microsoft.com/office/excel/2006/main">
          <x14:cfRule type="colorScale" priority="7" id="{5D4D972B-1E14-49C5-AD58-D54235B17C72}">
            <x14:colorScale>
              <x14:cfvo type="num">
                <xm:f>Konfiguration!$E$12</xm:f>
              </x14:cfvo>
              <x14:cfvo type="num">
                <xm:f>Konfiguration!$D$12</xm:f>
              </x14:cfvo>
              <x14:cfvo type="num">
                <xm:f>Konfiguration!$C$12</xm:f>
              </x14:cfvo>
              <x14:color rgb="FFF8696B"/>
              <x14:color rgb="FFFFEB84"/>
              <x14:color rgb="FF63BE7B"/>
            </x14:colorScale>
          </x14:cfRule>
          <xm:sqref>T25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errorTitle="Bitte wähle ein gültiges Jahr" error="Bitte wähle aus dem Auswahlmenü ein gültiges Jahr aus." promptTitle="Hochrechnung für das Jahr" prompt="Hier wählst du aus, für welches Jahr in der Zukunft du die Berechnungen in dieser Spalte vornehmen und anzeigen lassen möchtest. Du kannst ab dem Kaufdatum (siehe Eingabefeld weiter oben) 50 Jahre in die Zukunft schauen." xr:uid="{00000000-0002-0000-1200-000080000000}">
          <x14:formula1>
            <xm:f>'Kennzahlen im Verlauf'!$D$28:$BA$28</xm:f>
          </x14:formula1>
          <xm:sqref>T9</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
    <tabColor theme="3"/>
    <pageSetUpPr fitToPage="1"/>
  </sheetPr>
  <dimension ref="A1:X56"/>
  <sheetViews>
    <sheetView showGridLines="0" showRowColHeaders="0" zoomScaleNormal="100" workbookViewId="0">
      <pane ySplit="4" topLeftCell="A5" activePane="bottomLeft" state="frozen"/>
      <selection pane="bottomLeft" activeCell="C1" sqref="C1:D3"/>
    </sheetView>
  </sheetViews>
  <sheetFormatPr baseColWidth="10" defaultColWidth="11.5" defaultRowHeight="15"/>
  <cols>
    <col min="1" max="1" width="3.33203125" style="5" customWidth="1"/>
    <col min="2" max="2" width="3.1640625" style="5" customWidth="1"/>
    <col min="3" max="3" width="29.33203125" style="5" customWidth="1"/>
    <col min="4" max="4" width="11.5" style="5" customWidth="1"/>
    <col min="5" max="5" width="8" style="5" customWidth="1"/>
    <col min="6" max="6" width="18.83203125" style="5" customWidth="1"/>
    <col min="7" max="7" width="11.5" style="5" customWidth="1"/>
    <col min="8" max="8" width="6.5" style="5" customWidth="1"/>
    <col min="9" max="9" width="29.33203125" style="5" customWidth="1"/>
    <col min="10" max="10" width="11.5" style="5" customWidth="1"/>
    <col min="11" max="11" width="3.1640625" style="5" customWidth="1"/>
    <col min="12" max="12" width="3" style="5" customWidth="1"/>
    <col min="13" max="16384" width="11.5" style="5"/>
  </cols>
  <sheetData>
    <row r="1" spans="1:24" s="113" customFormat="1" ht="12.75" customHeight="1">
      <c r="C1" s="483" t="s">
        <v>254</v>
      </c>
      <c r="D1" s="483"/>
      <c r="E1" s="482" t="s">
        <v>252</v>
      </c>
      <c r="F1" s="482"/>
      <c r="G1" s="482"/>
      <c r="H1" s="482"/>
      <c r="I1" s="481"/>
      <c r="J1" s="193"/>
      <c r="O1" s="177"/>
      <c r="S1" s="481"/>
      <c r="T1" s="431"/>
    </row>
    <row r="2" spans="1:24" s="113" customFormat="1" ht="15" customHeight="1">
      <c r="C2" s="483"/>
      <c r="D2" s="483"/>
      <c r="E2" s="482"/>
      <c r="F2" s="482"/>
      <c r="G2" s="482"/>
      <c r="H2" s="482"/>
      <c r="I2" s="481"/>
      <c r="J2" s="186"/>
      <c r="O2" s="177"/>
      <c r="S2" s="481"/>
      <c r="T2" s="431"/>
    </row>
    <row r="3" spans="1:24" s="113" customFormat="1" ht="12.75" customHeight="1">
      <c r="C3" s="483"/>
      <c r="D3" s="483"/>
      <c r="E3" s="482"/>
      <c r="F3" s="482"/>
      <c r="G3" s="482"/>
      <c r="H3" s="482"/>
      <c r="I3" s="481"/>
      <c r="J3" s="186"/>
      <c r="O3" s="177"/>
      <c r="S3" s="481"/>
      <c r="T3" s="431"/>
    </row>
    <row r="4" spans="1:24" ht="18.75" customHeight="1">
      <c r="L4" s="4"/>
      <c r="M4" s="4"/>
      <c r="N4" s="4"/>
      <c r="O4" s="4"/>
    </row>
    <row r="5" spans="1:24" customFormat="1" ht="8.25" customHeight="1" thickBot="1">
      <c r="A5" s="5"/>
      <c r="B5" s="5"/>
      <c r="C5" s="5"/>
      <c r="D5" s="5"/>
      <c r="E5" s="5"/>
      <c r="F5" s="5"/>
      <c r="G5" s="5"/>
      <c r="H5" s="5"/>
      <c r="I5" s="5"/>
      <c r="J5" s="5"/>
      <c r="K5" s="5"/>
      <c r="L5" s="4"/>
      <c r="M5" s="4"/>
      <c r="N5" s="4"/>
      <c r="O5" s="4"/>
      <c r="P5" s="5"/>
      <c r="Q5" s="5"/>
      <c r="R5" s="5"/>
      <c r="S5" s="5"/>
      <c r="T5" s="5"/>
      <c r="U5" s="5"/>
      <c r="V5" s="5"/>
      <c r="W5" s="5"/>
      <c r="X5" s="5"/>
    </row>
    <row r="6" spans="1:24" ht="26.25" customHeight="1" thickBot="1">
      <c r="B6" s="478" t="s">
        <v>116</v>
      </c>
      <c r="C6" s="479"/>
      <c r="D6" s="479"/>
      <c r="E6" s="479"/>
      <c r="F6" s="479"/>
      <c r="G6" s="479"/>
      <c r="H6" s="479"/>
      <c r="I6" s="479"/>
      <c r="J6" s="479"/>
      <c r="K6" s="480"/>
      <c r="N6" s="11" t="s">
        <v>216</v>
      </c>
    </row>
    <row r="7" spans="1:24" ht="15" customHeight="1">
      <c r="B7" s="178"/>
      <c r="C7" s="179"/>
      <c r="D7" s="179"/>
      <c r="E7" s="179"/>
      <c r="F7" s="179"/>
      <c r="G7" s="179"/>
      <c r="H7" s="179"/>
      <c r="I7" s="179"/>
      <c r="J7" s="179"/>
      <c r="K7" s="180"/>
      <c r="O7" s="12"/>
      <c r="P7" s="12"/>
    </row>
    <row r="8" spans="1:24" ht="17.25" customHeight="1">
      <c r="B8" s="181"/>
      <c r="C8" s="9" t="str">
        <f>Cockpit!C9</f>
        <v>Bitte gib im roten Faden eine Adresse ein</v>
      </c>
      <c r="D8"/>
      <c r="E8"/>
      <c r="F8"/>
      <c r="G8" s="1"/>
      <c r="H8" s="1"/>
      <c r="I8" s="486">
        <f ca="1">Cockpit!C10</f>
        <v>45601</v>
      </c>
      <c r="J8" s="486"/>
      <c r="K8" s="187"/>
      <c r="L8" s="8"/>
      <c r="M8" s="8"/>
      <c r="N8" s="477" t="s">
        <v>256</v>
      </c>
      <c r="O8" s="477"/>
      <c r="P8" s="477"/>
      <c r="Q8" s="477"/>
    </row>
    <row r="9" spans="1:24" ht="15" customHeight="1">
      <c r="B9" s="181"/>
      <c r="C9"/>
      <c r="D9"/>
      <c r="E9"/>
      <c r="F9"/>
      <c r="G9"/>
      <c r="H9"/>
      <c r="I9"/>
      <c r="J9"/>
      <c r="K9" s="182"/>
      <c r="N9" s="477"/>
      <c r="O9" s="477"/>
      <c r="P9" s="477"/>
      <c r="Q9" s="477"/>
    </row>
    <row r="10" spans="1:24" ht="15.75" customHeight="1">
      <c r="B10" s="181"/>
      <c r="C10"/>
      <c r="D10"/>
      <c r="E10"/>
      <c r="F10"/>
      <c r="G10"/>
      <c r="H10"/>
      <c r="I10"/>
      <c r="J10"/>
      <c r="K10" s="188"/>
      <c r="N10" s="477"/>
      <c r="O10" s="477"/>
      <c r="P10" s="477"/>
      <c r="Q10" s="477"/>
    </row>
    <row r="11" spans="1:24" ht="15.75" customHeight="1">
      <c r="B11" s="181"/>
      <c r="C11"/>
      <c r="D11"/>
      <c r="E11"/>
      <c r="F11"/>
      <c r="G11"/>
      <c r="H11"/>
      <c r="I11"/>
      <c r="J11"/>
      <c r="K11" s="188"/>
      <c r="N11" s="477"/>
      <c r="O11" s="477"/>
      <c r="P11" s="477"/>
      <c r="Q11" s="477"/>
    </row>
    <row r="12" spans="1:24" ht="15.75" customHeight="1">
      <c r="B12" s="181"/>
      <c r="C12"/>
      <c r="D12"/>
      <c r="E12"/>
      <c r="F12"/>
      <c r="G12"/>
      <c r="H12"/>
      <c r="I12"/>
      <c r="J12"/>
      <c r="K12" s="188"/>
      <c r="N12" s="477"/>
      <c r="O12" s="477"/>
      <c r="P12" s="477"/>
      <c r="Q12" s="477"/>
    </row>
    <row r="13" spans="1:24" ht="15.75" customHeight="1">
      <c r="B13" s="181"/>
      <c r="C13"/>
      <c r="D13"/>
      <c r="E13"/>
      <c r="F13"/>
      <c r="G13"/>
      <c r="H13"/>
      <c r="I13"/>
      <c r="J13"/>
      <c r="K13" s="188"/>
      <c r="N13" s="477"/>
      <c r="O13" s="477"/>
      <c r="P13" s="477"/>
      <c r="Q13" s="477"/>
    </row>
    <row r="14" spans="1:24" ht="15.75" customHeight="1">
      <c r="B14" s="181"/>
      <c r="C14"/>
      <c r="D14"/>
      <c r="E14"/>
      <c r="F14"/>
      <c r="G14"/>
      <c r="H14"/>
      <c r="I14"/>
      <c r="J14"/>
      <c r="K14" s="188"/>
      <c r="N14" s="477"/>
      <c r="O14" s="477"/>
      <c r="P14" s="477"/>
      <c r="Q14" s="477"/>
    </row>
    <row r="15" spans="1:24" ht="15.75" customHeight="1">
      <c r="B15" s="181"/>
      <c r="C15"/>
      <c r="D15"/>
      <c r="E15"/>
      <c r="F15"/>
      <c r="G15"/>
      <c r="H15"/>
      <c r="I15"/>
      <c r="J15"/>
      <c r="K15" s="188"/>
      <c r="N15" s="477"/>
      <c r="O15" s="477"/>
      <c r="P15" s="477"/>
      <c r="Q15" s="477"/>
    </row>
    <row r="16" spans="1:24" ht="15.75" customHeight="1">
      <c r="B16" s="181"/>
      <c r="C16"/>
      <c r="D16"/>
      <c r="E16"/>
      <c r="F16"/>
      <c r="G16"/>
      <c r="H16"/>
      <c r="I16"/>
      <c r="J16"/>
      <c r="K16" s="188"/>
      <c r="N16" s="477"/>
      <c r="O16" s="477"/>
      <c r="P16" s="477"/>
      <c r="Q16" s="477"/>
    </row>
    <row r="17" spans="2:17" ht="15.75" customHeight="1">
      <c r="B17" s="181"/>
      <c r="C17"/>
      <c r="D17"/>
      <c r="E17"/>
      <c r="F17"/>
      <c r="G17"/>
      <c r="H17"/>
      <c r="I17"/>
      <c r="J17"/>
      <c r="K17" s="188"/>
      <c r="N17" s="477"/>
      <c r="O17" s="477"/>
      <c r="P17" s="477"/>
      <c r="Q17" s="477"/>
    </row>
    <row r="18" spans="2:17" ht="15.75" customHeight="1">
      <c r="B18" s="181"/>
      <c r="C18"/>
      <c r="D18"/>
      <c r="E18"/>
      <c r="F18"/>
      <c r="G18"/>
      <c r="H18"/>
      <c r="I18"/>
      <c r="J18"/>
      <c r="K18" s="188"/>
      <c r="N18" s="477" t="s">
        <v>217</v>
      </c>
      <c r="O18" s="477"/>
      <c r="P18" s="477"/>
      <c r="Q18" s="477"/>
    </row>
    <row r="19" spans="2:17" ht="15.75" customHeight="1">
      <c r="B19" s="181"/>
      <c r="C19"/>
      <c r="D19"/>
      <c r="E19"/>
      <c r="F19"/>
      <c r="G19"/>
      <c r="H19"/>
      <c r="I19"/>
      <c r="J19"/>
      <c r="K19" s="188"/>
      <c r="N19" s="477"/>
      <c r="O19" s="477"/>
      <c r="P19" s="477"/>
      <c r="Q19" s="477"/>
    </row>
    <row r="20" spans="2:17" ht="15.75" customHeight="1">
      <c r="B20" s="181"/>
      <c r="C20"/>
      <c r="D20"/>
      <c r="E20"/>
      <c r="F20"/>
      <c r="G20"/>
      <c r="H20"/>
      <c r="I20"/>
      <c r="J20"/>
      <c r="K20" s="188"/>
      <c r="N20" s="477"/>
      <c r="O20" s="477"/>
      <c r="P20" s="477"/>
      <c r="Q20" s="477"/>
    </row>
    <row r="21" spans="2:17" ht="15.75" customHeight="1">
      <c r="B21" s="181"/>
      <c r="C21"/>
      <c r="D21"/>
      <c r="E21"/>
      <c r="F21"/>
      <c r="G21"/>
      <c r="H21"/>
      <c r="I21"/>
      <c r="J21"/>
      <c r="K21" s="188"/>
      <c r="N21" s="477"/>
      <c r="O21" s="477"/>
      <c r="P21" s="477"/>
      <c r="Q21" s="477"/>
    </row>
    <row r="22" spans="2:17" ht="15.75" customHeight="1">
      <c r="B22" s="181"/>
      <c r="C22"/>
      <c r="D22"/>
      <c r="E22"/>
      <c r="F22"/>
      <c r="G22"/>
      <c r="H22"/>
      <c r="I22"/>
      <c r="J22"/>
      <c r="K22" s="188"/>
      <c r="N22" s="12"/>
      <c r="O22" s="12"/>
      <c r="P22" s="12"/>
    </row>
    <row r="23" spans="2:17" ht="15.75" customHeight="1">
      <c r="B23" s="256"/>
      <c r="C23" s="257"/>
      <c r="D23" s="257"/>
      <c r="E23" s="257"/>
      <c r="F23" s="257"/>
      <c r="G23" s="257"/>
      <c r="H23" s="257"/>
      <c r="I23" s="257"/>
      <c r="J23" s="257"/>
      <c r="K23" s="258"/>
      <c r="N23" s="475" t="s">
        <v>214</v>
      </c>
      <c r="O23" s="476"/>
      <c r="P23" s="476"/>
      <c r="Q23" s="476"/>
    </row>
    <row r="24" spans="2:17" ht="15.75" customHeight="1" thickBot="1">
      <c r="B24" s="181"/>
      <c r="C24"/>
      <c r="D24"/>
      <c r="E24"/>
      <c r="F24"/>
      <c r="G24"/>
      <c r="H24"/>
      <c r="I24"/>
      <c r="J24"/>
      <c r="K24" s="188"/>
      <c r="N24" s="475" t="s">
        <v>215</v>
      </c>
      <c r="O24" s="476"/>
      <c r="P24" s="476"/>
      <c r="Q24" s="476"/>
    </row>
    <row r="25" spans="2:17" ht="17" thickBot="1">
      <c r="B25" s="181"/>
      <c r="C25" s="472" t="s">
        <v>0</v>
      </c>
      <c r="D25" s="473"/>
      <c r="E25"/>
      <c r="F25" s="472" t="s">
        <v>21</v>
      </c>
      <c r="G25" s="473"/>
      <c r="H25"/>
      <c r="I25" s="472" t="s">
        <v>80</v>
      </c>
      <c r="J25" s="473"/>
      <c r="K25" s="182"/>
    </row>
    <row r="26" spans="2:17" ht="14.25" customHeight="1" thickBot="1">
      <c r="B26" s="189"/>
      <c r="C26" s="10"/>
      <c r="D26" s="10"/>
      <c r="E26" s="10"/>
      <c r="F26" s="10"/>
      <c r="G26" s="10"/>
      <c r="H26" s="10"/>
      <c r="I26" s="10"/>
      <c r="J26" s="10"/>
      <c r="K26" s="190"/>
    </row>
    <row r="27" spans="2:17" ht="16" thickBot="1">
      <c r="B27" s="189"/>
      <c r="C27" s="484" t="s">
        <v>85</v>
      </c>
      <c r="D27" s="485"/>
      <c r="E27" s="10"/>
      <c r="F27" s="484" t="s">
        <v>219</v>
      </c>
      <c r="G27" s="485"/>
      <c r="H27" s="10"/>
      <c r="I27" s="484" t="s">
        <v>81</v>
      </c>
      <c r="J27" s="485"/>
      <c r="K27" s="190"/>
      <c r="N27" s="477" t="s">
        <v>213</v>
      </c>
      <c r="O27" s="477"/>
      <c r="P27" s="477"/>
      <c r="Q27" s="477"/>
    </row>
    <row r="28" spans="2:17">
      <c r="B28" s="189"/>
      <c r="C28" s="194" t="s">
        <v>11</v>
      </c>
      <c r="D28" s="195">
        <f>Cockpit!C11</f>
        <v>0</v>
      </c>
      <c r="E28" s="10"/>
      <c r="F28" s="194" t="s">
        <v>7</v>
      </c>
      <c r="G28" s="198">
        <f>Cockpit!N17</f>
        <v>0</v>
      </c>
      <c r="H28" s="10"/>
      <c r="I28" s="194" t="s">
        <v>77</v>
      </c>
      <c r="J28" s="198">
        <f>Cockpit!H9</f>
        <v>0</v>
      </c>
      <c r="K28" s="190"/>
      <c r="N28" s="477"/>
      <c r="O28" s="477"/>
      <c r="P28" s="477"/>
      <c r="Q28" s="477"/>
    </row>
    <row r="29" spans="2:17" ht="16" thickBot="1">
      <c r="B29" s="189"/>
      <c r="C29" s="196" t="s">
        <v>14</v>
      </c>
      <c r="D29" s="394" t="str">
        <f>Cockpit!D15</f>
        <v>-</v>
      </c>
      <c r="E29" s="10"/>
      <c r="F29" s="191" t="s">
        <v>25</v>
      </c>
      <c r="G29" s="201">
        <f>Cockpit!N19</f>
        <v>0</v>
      </c>
      <c r="H29" s="10"/>
      <c r="I29" s="205" t="s">
        <v>17</v>
      </c>
      <c r="J29" s="206" t="str">
        <f>Cockpit!Q14</f>
        <v>-</v>
      </c>
      <c r="K29" s="190"/>
      <c r="N29" s="477"/>
      <c r="O29" s="477"/>
      <c r="P29" s="477"/>
      <c r="Q29" s="477"/>
    </row>
    <row r="30" spans="2:17" ht="16" thickBot="1">
      <c r="B30" s="189"/>
      <c r="C30" s="10"/>
      <c r="D30" s="10"/>
      <c r="E30" s="10"/>
      <c r="F30" s="196" t="s">
        <v>83</v>
      </c>
      <c r="G30" s="202">
        <f>Cockpit!N18</f>
        <v>0</v>
      </c>
      <c r="H30" s="10"/>
      <c r="I30" s="196" t="s">
        <v>82</v>
      </c>
      <c r="J30" s="207" t="str">
        <f>Cockpit!Q15</f>
        <v>-</v>
      </c>
      <c r="K30" s="190"/>
    </row>
    <row r="31" spans="2:17" ht="16" thickBot="1">
      <c r="B31" s="189"/>
      <c r="C31" s="10"/>
      <c r="D31" s="10"/>
      <c r="E31" s="10"/>
      <c r="F31" s="10"/>
      <c r="G31" s="10"/>
      <c r="H31" s="10"/>
      <c r="I31" s="10"/>
      <c r="J31" s="10"/>
      <c r="K31" s="190"/>
    </row>
    <row r="32" spans="2:17" ht="16" thickBot="1">
      <c r="B32" s="189"/>
      <c r="C32" s="484" t="s">
        <v>86</v>
      </c>
      <c r="D32" s="485"/>
      <c r="E32" s="10"/>
      <c r="F32" s="484" t="s">
        <v>218</v>
      </c>
      <c r="G32" s="485"/>
      <c r="H32" s="10"/>
      <c r="I32" s="484" t="s">
        <v>84</v>
      </c>
      <c r="J32" s="485"/>
      <c r="K32" s="190"/>
    </row>
    <row r="33" spans="2:11">
      <c r="B33" s="189"/>
      <c r="C33" s="194" t="s">
        <v>1</v>
      </c>
      <c r="D33" s="198">
        <f>Cockpit!D14</f>
        <v>0</v>
      </c>
      <c r="E33" s="10"/>
      <c r="F33" s="194" t="s">
        <v>7</v>
      </c>
      <c r="G33" s="198">
        <f>Cockpit!N9-Cockpit!N17</f>
        <v>0</v>
      </c>
      <c r="H33" s="10"/>
      <c r="I33" s="194" t="s">
        <v>77</v>
      </c>
      <c r="J33" s="198">
        <f>Cockpit!H9</f>
        <v>0</v>
      </c>
      <c r="K33" s="190"/>
    </row>
    <row r="34" spans="2:11">
      <c r="B34" s="189"/>
      <c r="C34" s="191" t="s">
        <v>3</v>
      </c>
      <c r="D34" s="199">
        <f>Cockpit!E21</f>
        <v>0</v>
      </c>
      <c r="E34" s="10"/>
      <c r="F34" s="191" t="s">
        <v>25</v>
      </c>
      <c r="G34" s="392" t="str">
        <f>IFERROR((Cockpit!N12*Cockpit!N9-Cockpit!N19*Cockpit!N17)/(Cockpit!N9-Cockpit!N17),"-")</f>
        <v>-</v>
      </c>
      <c r="H34" s="10"/>
      <c r="I34" s="208" t="str">
        <f>CONCATENATE("- Bewirtschaftungskosten",IFERROR(CONCATENATE(" (",TEXT(Cockpit!K11*100,"#"),"%)"),""))</f>
        <v>- Bewirtschaftungskosten</v>
      </c>
      <c r="J34" s="199">
        <f>Cockpit!K10</f>
        <v>0</v>
      </c>
      <c r="K34" s="190"/>
    </row>
    <row r="35" spans="2:11" ht="16" thickBot="1">
      <c r="B35" s="189"/>
      <c r="C35" s="192" t="s">
        <v>76</v>
      </c>
      <c r="D35" s="200">
        <f>Cockpit!C29</f>
        <v>0</v>
      </c>
      <c r="E35" s="10"/>
      <c r="F35" s="196" t="s">
        <v>83</v>
      </c>
      <c r="G35" s="393" t="str">
        <f>IFERROR((Cockpit!N11*Cockpit!N9-Cockpit!N18*Cockpit!N17)/(Cockpit!N9-Cockpit!N17),"-")</f>
        <v>-</v>
      </c>
      <c r="H35" s="10"/>
      <c r="I35" s="208" t="s">
        <v>33</v>
      </c>
      <c r="J35" s="199">
        <f>-Cockpit!Q21</f>
        <v>0</v>
      </c>
      <c r="K35" s="190"/>
    </row>
    <row r="36" spans="2:11" ht="17" thickTop="1" thickBot="1">
      <c r="B36" s="189"/>
      <c r="C36" s="196" t="s">
        <v>9</v>
      </c>
      <c r="D36" s="197">
        <f>SUM(D33:D35)</f>
        <v>0</v>
      </c>
      <c r="E36" s="10"/>
      <c r="F36" s="10"/>
      <c r="G36" s="10"/>
      <c r="H36" s="10"/>
      <c r="I36" s="209" t="s">
        <v>34</v>
      </c>
      <c r="J36" s="200">
        <f>-Cockpit!Q22</f>
        <v>0</v>
      </c>
      <c r="K36" s="190"/>
    </row>
    <row r="37" spans="2:11" ht="16" thickBot="1">
      <c r="B37" s="189"/>
      <c r="C37" s="10"/>
      <c r="D37" s="10"/>
      <c r="E37" s="10"/>
      <c r="F37" s="484" t="s">
        <v>28</v>
      </c>
      <c r="G37" s="485"/>
      <c r="H37" s="10"/>
      <c r="I37" s="210" t="s">
        <v>79</v>
      </c>
      <c r="J37" s="197">
        <f>J33-SUM(J34:J36)</f>
        <v>0</v>
      </c>
      <c r="K37" s="190"/>
    </row>
    <row r="38" spans="2:11" ht="16" thickBot="1">
      <c r="B38" s="189"/>
      <c r="C38" s="10"/>
      <c r="D38" s="10"/>
      <c r="E38" s="10"/>
      <c r="F38" s="203" t="s">
        <v>7</v>
      </c>
      <c r="G38" s="204">
        <f>Cockpit!N10</f>
        <v>0</v>
      </c>
      <c r="H38" s="10"/>
      <c r="I38" s="10"/>
      <c r="J38" s="10"/>
      <c r="K38" s="190"/>
    </row>
    <row r="39" spans="2:11" ht="15.75" customHeight="1">
      <c r="B39" s="259"/>
      <c r="C39" s="260"/>
      <c r="D39" s="260"/>
      <c r="E39" s="260"/>
      <c r="F39" s="260"/>
      <c r="G39" s="260"/>
      <c r="H39" s="260"/>
      <c r="I39" s="260"/>
      <c r="J39" s="260"/>
      <c r="K39" s="261"/>
    </row>
    <row r="40" spans="2:11">
      <c r="B40" s="181"/>
      <c r="C40"/>
      <c r="D40"/>
      <c r="E40"/>
      <c r="F40"/>
      <c r="G40"/>
      <c r="H40"/>
      <c r="I40"/>
      <c r="J40"/>
      <c r="K40" s="262"/>
    </row>
    <row r="41" spans="2:11">
      <c r="B41" s="181"/>
      <c r="C41"/>
      <c r="D41"/>
      <c r="E41"/>
      <c r="F41"/>
      <c r="G41"/>
      <c r="H41"/>
      <c r="I41"/>
      <c r="J41"/>
      <c r="K41" s="182"/>
    </row>
    <row r="42" spans="2:11">
      <c r="B42" s="181"/>
      <c r="C42"/>
      <c r="D42"/>
      <c r="E42"/>
      <c r="F42"/>
      <c r="G42"/>
      <c r="H42" s="2"/>
      <c r="I42" s="2" t="s">
        <v>87</v>
      </c>
      <c r="J42" s="2" t="s">
        <v>88</v>
      </c>
      <c r="K42" s="182"/>
    </row>
    <row r="43" spans="2:11">
      <c r="B43" s="181"/>
      <c r="C43"/>
      <c r="D43"/>
      <c r="E43"/>
      <c r="F43"/>
      <c r="G43"/>
      <c r="H43" s="2" t="s">
        <v>77</v>
      </c>
      <c r="I43" s="2">
        <f>Cockpit!H9</f>
        <v>0</v>
      </c>
      <c r="J43" s="2"/>
      <c r="K43" s="182"/>
    </row>
    <row r="44" spans="2:11">
      <c r="B44" s="181"/>
      <c r="C44"/>
      <c r="D44"/>
      <c r="E44"/>
      <c r="F44"/>
      <c r="G44"/>
      <c r="H44" s="2" t="s">
        <v>262</v>
      </c>
      <c r="I44" s="2"/>
      <c r="J44" s="2">
        <f>Cockpit!K10</f>
        <v>0</v>
      </c>
      <c r="K44" s="182"/>
    </row>
    <row r="45" spans="2:11">
      <c r="B45" s="181"/>
      <c r="C45"/>
      <c r="D45"/>
      <c r="E45"/>
      <c r="F45"/>
      <c r="G45"/>
      <c r="H45" s="2" t="s">
        <v>44</v>
      </c>
      <c r="I45" s="2"/>
      <c r="J45" s="2">
        <f>-Cockpit!Q21</f>
        <v>0</v>
      </c>
      <c r="K45" s="182"/>
    </row>
    <row r="46" spans="2:11">
      <c r="B46" s="181"/>
      <c r="C46"/>
      <c r="D46"/>
      <c r="E46"/>
      <c r="F46"/>
      <c r="G46"/>
      <c r="H46" s="2" t="s">
        <v>45</v>
      </c>
      <c r="I46" s="2"/>
      <c r="J46" s="2">
        <f>-Cockpit!Q22</f>
        <v>0</v>
      </c>
      <c r="K46" s="182"/>
    </row>
    <row r="47" spans="2:11">
      <c r="B47" s="181"/>
      <c r="C47"/>
      <c r="D47"/>
      <c r="E47"/>
      <c r="F47"/>
      <c r="G47"/>
      <c r="H47"/>
      <c r="I47"/>
      <c r="J47"/>
      <c r="K47" s="182"/>
    </row>
    <row r="48" spans="2:11">
      <c r="B48" s="181"/>
      <c r="C48"/>
      <c r="D48"/>
      <c r="E48"/>
      <c r="F48"/>
      <c r="G48"/>
      <c r="H48"/>
      <c r="I48"/>
      <c r="J48"/>
      <c r="K48" s="182"/>
    </row>
    <row r="49" spans="2:11">
      <c r="B49" s="181"/>
      <c r="C49"/>
      <c r="D49"/>
      <c r="E49"/>
      <c r="F49"/>
      <c r="G49"/>
      <c r="H49"/>
      <c r="I49"/>
      <c r="J49"/>
      <c r="K49" s="182"/>
    </row>
    <row r="50" spans="2:11">
      <c r="B50" s="181"/>
      <c r="C50"/>
      <c r="D50"/>
      <c r="E50"/>
      <c r="F50"/>
      <c r="G50"/>
      <c r="H50"/>
      <c r="I50"/>
      <c r="J50"/>
      <c r="K50" s="182"/>
    </row>
    <row r="51" spans="2:11">
      <c r="B51" s="181"/>
      <c r="C51"/>
      <c r="D51"/>
      <c r="E51"/>
      <c r="F51"/>
      <c r="G51"/>
      <c r="H51"/>
      <c r="I51"/>
      <c r="J51"/>
      <c r="K51" s="182"/>
    </row>
    <row r="52" spans="2:11">
      <c r="B52" s="181"/>
      <c r="C52"/>
      <c r="D52"/>
      <c r="E52"/>
      <c r="F52"/>
      <c r="G52"/>
      <c r="H52"/>
      <c r="I52"/>
      <c r="J52"/>
      <c r="K52" s="182"/>
    </row>
    <row r="53" spans="2:11">
      <c r="B53" s="181"/>
      <c r="C53"/>
      <c r="D53"/>
      <c r="E53"/>
      <c r="F53"/>
      <c r="G53"/>
      <c r="H53"/>
      <c r="I53"/>
      <c r="J53"/>
      <c r="K53" s="182"/>
    </row>
    <row r="54" spans="2:11" ht="16" thickBot="1">
      <c r="B54" s="183"/>
      <c r="C54" s="184"/>
      <c r="D54" s="184"/>
      <c r="E54" s="184"/>
      <c r="F54" s="184"/>
      <c r="G54" s="184"/>
      <c r="H54" s="184"/>
      <c r="I54" s="184"/>
      <c r="J54" s="184"/>
      <c r="K54" s="185"/>
    </row>
    <row r="56" spans="2:11">
      <c r="B56" s="107" t="s">
        <v>269</v>
      </c>
    </row>
  </sheetData>
  <sheetProtection algorithmName="SHA-512" hashValue="3xDcEfOqA5+SxcRmnnz2SCpjtCxLJJENnobke09CdvpWe6aKLsDLqrJTnlMDuc9OeDiZflZ2vNr95uCkZe0lNg==" saltValue="CfKU8754W70fWa+1KFOYRw==" spinCount="100000" sheet="1" objects="1" scenarios="1" formatCells="0" formatColumns="0"/>
  <mergeCells count="22">
    <mergeCell ref="C32:D32"/>
    <mergeCell ref="C27:D27"/>
    <mergeCell ref="F27:G27"/>
    <mergeCell ref="C25:D25"/>
    <mergeCell ref="F25:G25"/>
    <mergeCell ref="F32:G32"/>
    <mergeCell ref="F37:G37"/>
    <mergeCell ref="I8:J8"/>
    <mergeCell ref="I25:J25"/>
    <mergeCell ref="I32:J32"/>
    <mergeCell ref="I27:J27"/>
    <mergeCell ref="T1:T3"/>
    <mergeCell ref="I1:I3"/>
    <mergeCell ref="S1:S3"/>
    <mergeCell ref="E1:H3"/>
    <mergeCell ref="C1:D3"/>
    <mergeCell ref="N24:Q24"/>
    <mergeCell ref="N27:Q29"/>
    <mergeCell ref="N18:Q21"/>
    <mergeCell ref="N23:Q23"/>
    <mergeCell ref="B6:K6"/>
    <mergeCell ref="N8:Q17"/>
  </mergeCells>
  <hyperlinks>
    <hyperlink ref="N23:Q23" location="Haushaltsrechnung!A1" display="zur Vorlage Haushaltsrechnung" xr:uid="{00000000-0004-0000-1300-000000000000}"/>
    <hyperlink ref="N24:Q24" location="Vermögensaufstellung!A1" display="zur Vorlage Vermögensübersicht" xr:uid="{00000000-0004-0000-1300-000001000000}"/>
    <hyperlink ref="C1:C3" location="Rendite!A1" display="Zurück zum Cockpit" xr:uid="{00000000-0004-0000-1300-000002000000}"/>
    <hyperlink ref="C1:D3" location="Cockpit!A1" display="zurück zum Cockpit" xr:uid="{00000000-0004-0000-1300-000003000000}"/>
    <hyperlink ref="B56" location="Deckblatt!A1" display="Keine Gewähr für die Richtigkeit der Angaben. Dieses Tool ersetzt keine fundierte Rechts-, Steuer- oder Finanzberatung. Mehr Details hier." xr:uid="{00000000-0004-0000-1300-000004000000}"/>
  </hyperlinks>
  <printOptions horizontalCentered="1"/>
  <pageMargins left="0.23622047244094491" right="0.23622047244094491" top="0.74803149606299213" bottom="0.74803149606299213" header="0.31496062992125984" footer="0.31496062992125984"/>
  <pageSetup paperSize="9" scale="71"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4">
    <tabColor theme="3"/>
  </sheetPr>
  <dimension ref="A1:CH90"/>
  <sheetViews>
    <sheetView showGridLines="0" showRowColHeaders="0" zoomScaleNormal="100" workbookViewId="0">
      <pane xSplit="3" ySplit="4" topLeftCell="D5" activePane="bottomRight" state="frozen"/>
      <selection pane="topRight" activeCell="D1" sqref="D1"/>
      <selection pane="bottomLeft" activeCell="A7" sqref="A7"/>
      <selection pane="bottomRight" activeCell="D13" sqref="D13"/>
    </sheetView>
  </sheetViews>
  <sheetFormatPr baseColWidth="10" defaultColWidth="9.1640625" defaultRowHeight="15"/>
  <cols>
    <col min="1" max="1" width="3.5" style="5" customWidth="1"/>
    <col min="2" max="2" width="34.6640625" style="5" customWidth="1"/>
    <col min="3" max="3" width="0.5" style="5" customWidth="1"/>
    <col min="4" max="8" width="11.1640625" style="5" customWidth="1"/>
    <col min="9" max="12" width="11.1640625" style="4" customWidth="1"/>
    <col min="13" max="86" width="11.1640625" style="5" customWidth="1"/>
    <col min="87" max="16384" width="9.1640625" style="5"/>
  </cols>
  <sheetData>
    <row r="1" spans="1:86" s="113" customFormat="1" ht="12.75" customHeight="1">
      <c r="B1" s="430" t="s">
        <v>254</v>
      </c>
      <c r="C1" s="430"/>
      <c r="E1" s="497" t="s">
        <v>272</v>
      </c>
      <c r="F1" s="497"/>
      <c r="G1" s="497"/>
      <c r="H1" s="497"/>
      <c r="I1" s="497"/>
      <c r="J1" s="497"/>
      <c r="K1" s="497"/>
      <c r="L1" s="110"/>
      <c r="M1" s="110"/>
      <c r="N1" s="110"/>
      <c r="O1" s="110"/>
      <c r="P1" s="430"/>
      <c r="Q1" s="430"/>
      <c r="R1" s="430"/>
      <c r="T1" s="430"/>
      <c r="U1" s="430"/>
    </row>
    <row r="2" spans="1:86" s="113" customFormat="1" ht="15" customHeight="1">
      <c r="B2" s="430"/>
      <c r="C2" s="430"/>
      <c r="E2" s="497"/>
      <c r="F2" s="497"/>
      <c r="G2" s="497"/>
      <c r="H2" s="497"/>
      <c r="I2" s="497"/>
      <c r="J2" s="497"/>
      <c r="K2" s="497"/>
      <c r="L2" s="110"/>
      <c r="M2" s="110"/>
      <c r="N2" s="110"/>
      <c r="O2" s="110"/>
      <c r="P2" s="430"/>
      <c r="Q2" s="430"/>
      <c r="R2" s="430"/>
      <c r="T2" s="430"/>
      <c r="U2" s="430"/>
    </row>
    <row r="3" spans="1:86" s="113" customFormat="1" ht="12.75" customHeight="1">
      <c r="B3" s="430"/>
      <c r="C3" s="430"/>
      <c r="E3" s="497"/>
      <c r="F3" s="497"/>
      <c r="G3" s="497"/>
      <c r="H3" s="497"/>
      <c r="I3" s="497"/>
      <c r="J3" s="497"/>
      <c r="K3" s="497"/>
      <c r="L3" s="110"/>
      <c r="M3" s="110"/>
      <c r="N3" s="110"/>
      <c r="O3" s="110"/>
      <c r="P3" s="430"/>
      <c r="Q3" s="430"/>
      <c r="R3" s="430"/>
      <c r="T3" s="430"/>
      <c r="U3" s="430"/>
    </row>
    <row r="4" spans="1:86" ht="18.75" customHeight="1">
      <c r="I4" s="5"/>
      <c r="J4" s="5"/>
      <c r="K4" s="5"/>
      <c r="L4" s="5"/>
      <c r="M4" s="4"/>
      <c r="N4" s="4"/>
      <c r="O4" s="4"/>
      <c r="P4" s="4"/>
    </row>
    <row r="5" spans="1:86" ht="9" customHeight="1" thickBot="1">
      <c r="I5" s="5"/>
      <c r="J5" s="5"/>
      <c r="K5" s="5"/>
      <c r="L5" s="5"/>
      <c r="N5" s="4"/>
      <c r="O5" s="4"/>
      <c r="P5" s="4"/>
      <c r="Q5" s="4"/>
    </row>
    <row r="6" spans="1:86" ht="17" thickBot="1">
      <c r="A6"/>
      <c r="B6" s="211" t="s">
        <v>223</v>
      </c>
      <c r="C6" s="25"/>
      <c r="D6" s="26"/>
      <c r="I6" s="5"/>
      <c r="J6" s="5"/>
      <c r="K6" s="5"/>
      <c r="L6" s="5"/>
    </row>
    <row r="7" spans="1:86" ht="16" thickBot="1">
      <c r="B7" s="214"/>
      <c r="C7" s="215"/>
      <c r="D7" s="216">
        <f ca="1">'Kennzahlen im Verlauf'!D13</f>
        <v>2024</v>
      </c>
      <c r="E7" s="217">
        <f ca="1">'Kennzahlen im Verlauf'!E13</f>
        <v>2025</v>
      </c>
      <c r="F7" s="217">
        <f ca="1">'Kennzahlen im Verlauf'!F13</f>
        <v>2026</v>
      </c>
      <c r="G7" s="217">
        <f ca="1">'Kennzahlen im Verlauf'!G13</f>
        <v>2027</v>
      </c>
      <c r="H7" s="217">
        <f ca="1">'Kennzahlen im Verlauf'!H13</f>
        <v>2028</v>
      </c>
      <c r="I7" s="217">
        <f ca="1">'Kennzahlen im Verlauf'!I13</f>
        <v>2029</v>
      </c>
      <c r="J7" s="217">
        <f ca="1">'Kennzahlen im Verlauf'!J13</f>
        <v>2030</v>
      </c>
      <c r="K7" s="217">
        <f ca="1">'Kennzahlen im Verlauf'!K13</f>
        <v>2031</v>
      </c>
      <c r="L7" s="217">
        <f ca="1">'Kennzahlen im Verlauf'!L13</f>
        <v>2032</v>
      </c>
      <c r="M7" s="217">
        <f ca="1">'Kennzahlen im Verlauf'!M13</f>
        <v>2033</v>
      </c>
      <c r="N7" s="217">
        <f ca="1">'Kennzahlen im Verlauf'!N13</f>
        <v>2034</v>
      </c>
      <c r="O7" s="217">
        <f ca="1">'Kennzahlen im Verlauf'!O13</f>
        <v>2035</v>
      </c>
      <c r="P7" s="217">
        <f ca="1">'Kennzahlen im Verlauf'!P13</f>
        <v>2036</v>
      </c>
      <c r="Q7" s="217">
        <f ca="1">'Kennzahlen im Verlauf'!Q13</f>
        <v>2037</v>
      </c>
      <c r="R7" s="217">
        <f ca="1">'Kennzahlen im Verlauf'!R13</f>
        <v>2038</v>
      </c>
      <c r="S7" s="217">
        <f ca="1">'Kennzahlen im Verlauf'!S13</f>
        <v>2039</v>
      </c>
      <c r="T7" s="217">
        <f ca="1">'Kennzahlen im Verlauf'!T13</f>
        <v>2040</v>
      </c>
      <c r="U7" s="217">
        <f ca="1">'Kennzahlen im Verlauf'!U13</f>
        <v>2041</v>
      </c>
      <c r="V7" s="217">
        <f ca="1">'Kennzahlen im Verlauf'!V13</f>
        <v>2042</v>
      </c>
      <c r="W7" s="217">
        <f ca="1">'Kennzahlen im Verlauf'!W13</f>
        <v>2043</v>
      </c>
      <c r="X7" s="217">
        <f ca="1">'Kennzahlen im Verlauf'!X13</f>
        <v>2044</v>
      </c>
      <c r="Y7" s="217">
        <f ca="1">'Kennzahlen im Verlauf'!Y13</f>
        <v>2045</v>
      </c>
      <c r="Z7" s="217">
        <f ca="1">'Kennzahlen im Verlauf'!Z13</f>
        <v>2046</v>
      </c>
      <c r="AA7" s="217">
        <f ca="1">'Kennzahlen im Verlauf'!AA13</f>
        <v>2047</v>
      </c>
      <c r="AB7" s="217">
        <f ca="1">'Kennzahlen im Verlauf'!AB13</f>
        <v>2048</v>
      </c>
      <c r="AC7" s="217">
        <f ca="1">'Kennzahlen im Verlauf'!AC13</f>
        <v>2049</v>
      </c>
      <c r="AD7" s="217">
        <f ca="1">'Kennzahlen im Verlauf'!AD13</f>
        <v>2050</v>
      </c>
      <c r="AE7" s="217">
        <f ca="1">'Kennzahlen im Verlauf'!AE13</f>
        <v>2051</v>
      </c>
      <c r="AF7" s="217">
        <f ca="1">'Kennzahlen im Verlauf'!AF13</f>
        <v>2052</v>
      </c>
      <c r="AG7" s="217">
        <f ca="1">'Kennzahlen im Verlauf'!AG13</f>
        <v>2053</v>
      </c>
      <c r="AH7" s="217">
        <f ca="1">'Kennzahlen im Verlauf'!AH13</f>
        <v>2054</v>
      </c>
      <c r="AI7" s="217">
        <f ca="1">'Kennzahlen im Verlauf'!AI13</f>
        <v>2055</v>
      </c>
      <c r="AJ7" s="217">
        <f ca="1">'Kennzahlen im Verlauf'!AJ13</f>
        <v>2056</v>
      </c>
      <c r="AK7" s="217">
        <f ca="1">'Kennzahlen im Verlauf'!AK13</f>
        <v>2057</v>
      </c>
      <c r="AL7" s="217">
        <f ca="1">'Kennzahlen im Verlauf'!AL13</f>
        <v>2058</v>
      </c>
      <c r="AM7" s="217">
        <f ca="1">'Kennzahlen im Verlauf'!AM13</f>
        <v>2059</v>
      </c>
      <c r="AN7" s="217">
        <f ca="1">'Kennzahlen im Verlauf'!AN13</f>
        <v>2060</v>
      </c>
      <c r="AO7" s="217">
        <f ca="1">'Kennzahlen im Verlauf'!AO13</f>
        <v>2061</v>
      </c>
      <c r="AP7" s="217">
        <f ca="1">'Kennzahlen im Verlauf'!AP13</f>
        <v>2062</v>
      </c>
      <c r="AQ7" s="217">
        <f ca="1">'Kennzahlen im Verlauf'!AQ13</f>
        <v>2063</v>
      </c>
      <c r="AR7" s="217">
        <f ca="1">'Kennzahlen im Verlauf'!AR13</f>
        <v>2064</v>
      </c>
      <c r="AS7" s="217">
        <f ca="1">'Kennzahlen im Verlauf'!AS13</f>
        <v>2065</v>
      </c>
      <c r="AT7" s="217">
        <f ca="1">'Kennzahlen im Verlauf'!AT13</f>
        <v>2066</v>
      </c>
      <c r="AU7" s="217">
        <f ca="1">'Kennzahlen im Verlauf'!AU13</f>
        <v>2067</v>
      </c>
      <c r="AV7" s="217">
        <f ca="1">'Kennzahlen im Verlauf'!AV13</f>
        <v>2068</v>
      </c>
      <c r="AW7" s="217">
        <f ca="1">'Kennzahlen im Verlauf'!AW13</f>
        <v>2069</v>
      </c>
      <c r="AX7" s="217">
        <f ca="1">'Kennzahlen im Verlauf'!AX13</f>
        <v>2070</v>
      </c>
      <c r="AY7" s="217">
        <f ca="1">'Kennzahlen im Verlauf'!AY13</f>
        <v>2071</v>
      </c>
      <c r="AZ7" s="217">
        <f ca="1">'Kennzahlen im Verlauf'!AZ13</f>
        <v>2072</v>
      </c>
      <c r="BA7" s="217">
        <f ca="1">'Kennzahlen im Verlauf'!BA13</f>
        <v>2073</v>
      </c>
      <c r="BB7" s="217">
        <f ca="1">'Kennzahlen im Verlauf'!BB13</f>
        <v>2074</v>
      </c>
      <c r="BC7" s="217">
        <f ca="1">'Kennzahlen im Verlauf'!BC13</f>
        <v>2075</v>
      </c>
      <c r="BD7" s="217">
        <f ca="1">'Kennzahlen im Verlauf'!BD13</f>
        <v>2076</v>
      </c>
      <c r="BE7" s="217">
        <f ca="1">'Kennzahlen im Verlauf'!BE13</f>
        <v>2077</v>
      </c>
      <c r="BF7" s="217">
        <f ca="1">'Kennzahlen im Verlauf'!BF13</f>
        <v>2078</v>
      </c>
      <c r="BG7" s="217">
        <f ca="1">'Kennzahlen im Verlauf'!BG13</f>
        <v>2079</v>
      </c>
      <c r="BH7" s="217">
        <f ca="1">'Kennzahlen im Verlauf'!BH13</f>
        <v>2080</v>
      </c>
      <c r="BI7" s="217">
        <f ca="1">'Kennzahlen im Verlauf'!BI13</f>
        <v>2081</v>
      </c>
      <c r="BJ7" s="217">
        <f ca="1">'Kennzahlen im Verlauf'!BJ13</f>
        <v>2082</v>
      </c>
      <c r="BK7" s="217">
        <f ca="1">'Kennzahlen im Verlauf'!BK13</f>
        <v>2083</v>
      </c>
      <c r="BL7" s="217">
        <f ca="1">'Kennzahlen im Verlauf'!BL13</f>
        <v>2084</v>
      </c>
      <c r="BM7" s="217">
        <f ca="1">'Kennzahlen im Verlauf'!BM13</f>
        <v>2085</v>
      </c>
      <c r="BN7" s="217">
        <f ca="1">'Kennzahlen im Verlauf'!BN13</f>
        <v>2086</v>
      </c>
      <c r="BO7" s="217">
        <f ca="1">'Kennzahlen im Verlauf'!BO13</f>
        <v>2087</v>
      </c>
      <c r="BP7" s="217">
        <f ca="1">'Kennzahlen im Verlauf'!BP13</f>
        <v>2088</v>
      </c>
      <c r="BQ7" s="217">
        <f ca="1">'Kennzahlen im Verlauf'!BQ13</f>
        <v>2089</v>
      </c>
      <c r="BR7" s="217">
        <f ca="1">'Kennzahlen im Verlauf'!BR13</f>
        <v>2090</v>
      </c>
      <c r="BS7" s="217">
        <f ca="1">'Kennzahlen im Verlauf'!BS13</f>
        <v>2091</v>
      </c>
      <c r="BT7" s="217">
        <f ca="1">'Kennzahlen im Verlauf'!BT13</f>
        <v>2092</v>
      </c>
      <c r="BU7" s="217">
        <f ca="1">'Kennzahlen im Verlauf'!BU13</f>
        <v>2093</v>
      </c>
      <c r="BV7" s="217">
        <f ca="1">'Kennzahlen im Verlauf'!BV13</f>
        <v>2094</v>
      </c>
      <c r="BW7" s="217">
        <f ca="1">'Kennzahlen im Verlauf'!BW13</f>
        <v>2095</v>
      </c>
      <c r="BX7" s="217">
        <f ca="1">'Kennzahlen im Verlauf'!BX13</f>
        <v>2096</v>
      </c>
      <c r="BY7" s="217">
        <f ca="1">'Kennzahlen im Verlauf'!BY13</f>
        <v>2097</v>
      </c>
      <c r="BZ7" s="217">
        <f ca="1">'Kennzahlen im Verlauf'!BZ13</f>
        <v>2098</v>
      </c>
      <c r="CA7" s="217">
        <f ca="1">'Kennzahlen im Verlauf'!CA13</f>
        <v>2099</v>
      </c>
      <c r="CB7" s="217">
        <f ca="1">'Kennzahlen im Verlauf'!CB13</f>
        <v>2100</v>
      </c>
      <c r="CC7" s="217">
        <f ca="1">'Kennzahlen im Verlauf'!CC13</f>
        <v>2101</v>
      </c>
      <c r="CD7" s="217">
        <f ca="1">'Kennzahlen im Verlauf'!CD13</f>
        <v>2102</v>
      </c>
      <c r="CE7" s="217">
        <f ca="1">'Kennzahlen im Verlauf'!CE13</f>
        <v>2103</v>
      </c>
      <c r="CF7" s="217">
        <f ca="1">'Kennzahlen im Verlauf'!CF13</f>
        <v>2104</v>
      </c>
      <c r="CG7" s="217">
        <f ca="1">'Kennzahlen im Verlauf'!CG13</f>
        <v>2105</v>
      </c>
      <c r="CH7" s="218">
        <f ca="1">'Kennzahlen im Verlauf'!CH13</f>
        <v>2106</v>
      </c>
    </row>
    <row r="8" spans="1:86">
      <c r="B8" s="502" t="s">
        <v>231</v>
      </c>
      <c r="C8" s="503"/>
      <c r="D8" s="219">
        <f>Cockpit!H9</f>
        <v>0</v>
      </c>
      <c r="E8" s="219">
        <f>D8*(1+Cockpit!$H$26)</f>
        <v>0</v>
      </c>
      <c r="F8" s="219">
        <f>E8*(1+Cockpit!$H$26)</f>
        <v>0</v>
      </c>
      <c r="G8" s="219">
        <f>F8*(1+Cockpit!$H$26)</f>
        <v>0</v>
      </c>
      <c r="H8" s="219">
        <f>G8*(1+Cockpit!$H$26)</f>
        <v>0</v>
      </c>
      <c r="I8" s="219">
        <f>H8*(1+Cockpit!$H$26)</f>
        <v>0</v>
      </c>
      <c r="J8" s="219">
        <f>I8*(1+Cockpit!$H$26)</f>
        <v>0</v>
      </c>
      <c r="K8" s="219">
        <f>J8*(1+Cockpit!$H$26)</f>
        <v>0</v>
      </c>
      <c r="L8" s="219">
        <f>K8*(1+Cockpit!$H$26)</f>
        <v>0</v>
      </c>
      <c r="M8" s="219">
        <f>L8*(1+Cockpit!$H$26)</f>
        <v>0</v>
      </c>
      <c r="N8" s="219">
        <f>M8*(1+Cockpit!$H$26)</f>
        <v>0</v>
      </c>
      <c r="O8" s="219">
        <f>N8*(1+Cockpit!$H$26)</f>
        <v>0</v>
      </c>
      <c r="P8" s="219">
        <f>O8*(1+Cockpit!$H$26)</f>
        <v>0</v>
      </c>
      <c r="Q8" s="219">
        <f>P8*(1+Cockpit!$H$26)</f>
        <v>0</v>
      </c>
      <c r="R8" s="219">
        <f>Q8*(1+Cockpit!$H$26)</f>
        <v>0</v>
      </c>
      <c r="S8" s="219">
        <f>R8*(1+Cockpit!$H$26)</f>
        <v>0</v>
      </c>
      <c r="T8" s="219">
        <f>S8*(1+Cockpit!$H$26)</f>
        <v>0</v>
      </c>
      <c r="U8" s="219">
        <f>T8*(1+Cockpit!$H$26)</f>
        <v>0</v>
      </c>
      <c r="V8" s="219">
        <f>U8*(1+Cockpit!$H$26)</f>
        <v>0</v>
      </c>
      <c r="W8" s="219">
        <f>V8*(1+Cockpit!$H$26)</f>
        <v>0</v>
      </c>
      <c r="X8" s="219">
        <f>W8*(1+Cockpit!$H$26)</f>
        <v>0</v>
      </c>
      <c r="Y8" s="219">
        <f>X8*(1+Cockpit!$H$26)</f>
        <v>0</v>
      </c>
      <c r="Z8" s="219">
        <f>Y8*(1+Cockpit!$H$26)</f>
        <v>0</v>
      </c>
      <c r="AA8" s="219">
        <f>Z8*(1+Cockpit!$H$26)</f>
        <v>0</v>
      </c>
      <c r="AB8" s="219">
        <f>AA8*(1+Cockpit!$H$26)</f>
        <v>0</v>
      </c>
      <c r="AC8" s="219">
        <f>AB8*(1+Cockpit!$H$26)</f>
        <v>0</v>
      </c>
      <c r="AD8" s="219">
        <f>AC8*(1+Cockpit!$H$26)</f>
        <v>0</v>
      </c>
      <c r="AE8" s="219">
        <f>AD8*(1+Cockpit!$H$26)</f>
        <v>0</v>
      </c>
      <c r="AF8" s="219">
        <f>AE8*(1+Cockpit!$H$26)</f>
        <v>0</v>
      </c>
      <c r="AG8" s="219">
        <f>AF8*(1+Cockpit!$H$26)</f>
        <v>0</v>
      </c>
      <c r="AH8" s="219">
        <f>AG8*(1+Cockpit!$H$26)</f>
        <v>0</v>
      </c>
      <c r="AI8" s="219">
        <f>AH8*(1+Cockpit!$H$26)</f>
        <v>0</v>
      </c>
      <c r="AJ8" s="219">
        <f>AI8*(1+Cockpit!$H$26)</f>
        <v>0</v>
      </c>
      <c r="AK8" s="219">
        <f>AJ8*(1+Cockpit!$H$26)</f>
        <v>0</v>
      </c>
      <c r="AL8" s="219">
        <f>AK8*(1+Cockpit!$H$26)</f>
        <v>0</v>
      </c>
      <c r="AM8" s="219">
        <f>AL8*(1+Cockpit!$H$26)</f>
        <v>0</v>
      </c>
      <c r="AN8" s="219">
        <f>AM8*(1+Cockpit!$H$26)</f>
        <v>0</v>
      </c>
      <c r="AO8" s="219">
        <f>AN8*(1+Cockpit!$H$26)</f>
        <v>0</v>
      </c>
      <c r="AP8" s="219">
        <f>AO8*(1+Cockpit!$H$26)</f>
        <v>0</v>
      </c>
      <c r="AQ8" s="219">
        <f>AP8*(1+Cockpit!$H$26)</f>
        <v>0</v>
      </c>
      <c r="AR8" s="219">
        <f>AQ8*(1+Cockpit!$H$26)</f>
        <v>0</v>
      </c>
      <c r="AS8" s="219">
        <f>AR8*(1+Cockpit!$H$26)</f>
        <v>0</v>
      </c>
      <c r="AT8" s="219">
        <f>AS8*(1+Cockpit!$H$26)</f>
        <v>0</v>
      </c>
      <c r="AU8" s="219">
        <f>AT8*(1+Cockpit!$H$26)</f>
        <v>0</v>
      </c>
      <c r="AV8" s="219">
        <f>AU8*(1+Cockpit!$H$26)</f>
        <v>0</v>
      </c>
      <c r="AW8" s="219">
        <f>AV8*(1+Cockpit!$H$26)</f>
        <v>0</v>
      </c>
      <c r="AX8" s="219">
        <f>AW8*(1+Cockpit!$H$26)</f>
        <v>0</v>
      </c>
      <c r="AY8" s="219">
        <f>AX8*(1+Cockpit!$H$26)</f>
        <v>0</v>
      </c>
      <c r="AZ8" s="219">
        <f>AY8*(1+Cockpit!$H$26)</f>
        <v>0</v>
      </c>
      <c r="BA8" s="219">
        <f>AZ8*(1+Cockpit!$H$26)</f>
        <v>0</v>
      </c>
      <c r="BB8" s="219">
        <f>BA8*(1+Cockpit!$H$26)</f>
        <v>0</v>
      </c>
      <c r="BC8" s="219">
        <f>BB8*(1+Cockpit!$H$26)</f>
        <v>0</v>
      </c>
      <c r="BD8" s="219">
        <f>BC8*(1+Cockpit!$H$26)</f>
        <v>0</v>
      </c>
      <c r="BE8" s="219">
        <f>BD8*(1+Cockpit!$H$26)</f>
        <v>0</v>
      </c>
      <c r="BF8" s="219">
        <f>BE8*(1+Cockpit!$H$26)</f>
        <v>0</v>
      </c>
      <c r="BG8" s="219">
        <f>BF8*(1+Cockpit!$H$26)</f>
        <v>0</v>
      </c>
      <c r="BH8" s="219">
        <f>BG8*(1+Cockpit!$H$26)</f>
        <v>0</v>
      </c>
      <c r="BI8" s="219">
        <f>BH8*(1+Cockpit!$H$26)</f>
        <v>0</v>
      </c>
      <c r="BJ8" s="219">
        <f>BI8*(1+Cockpit!$H$26)</f>
        <v>0</v>
      </c>
      <c r="BK8" s="219">
        <f>BJ8*(1+Cockpit!$H$26)</f>
        <v>0</v>
      </c>
      <c r="BL8" s="219">
        <f>BK8*(1+Cockpit!$H$26)</f>
        <v>0</v>
      </c>
      <c r="BM8" s="219">
        <f>BL8*(1+Cockpit!$H$26)</f>
        <v>0</v>
      </c>
      <c r="BN8" s="219">
        <f>BM8*(1+Cockpit!$H$26)</f>
        <v>0</v>
      </c>
      <c r="BO8" s="219">
        <f>BN8*(1+Cockpit!$H$26)</f>
        <v>0</v>
      </c>
      <c r="BP8" s="219">
        <f>BO8*(1+Cockpit!$H$26)</f>
        <v>0</v>
      </c>
      <c r="BQ8" s="219">
        <f>BP8*(1+Cockpit!$H$26)</f>
        <v>0</v>
      </c>
      <c r="BR8" s="219">
        <f>BQ8*(1+Cockpit!$H$26)</f>
        <v>0</v>
      </c>
      <c r="BS8" s="219">
        <f>BR8*(1+Cockpit!$H$26)</f>
        <v>0</v>
      </c>
      <c r="BT8" s="219">
        <f>BS8*(1+Cockpit!$H$26)</f>
        <v>0</v>
      </c>
      <c r="BU8" s="219">
        <f>BT8*(1+Cockpit!$H$26)</f>
        <v>0</v>
      </c>
      <c r="BV8" s="219">
        <f>BU8*(1+Cockpit!$H$26)</f>
        <v>0</v>
      </c>
      <c r="BW8" s="219">
        <f>BV8*(1+Cockpit!$H$26)</f>
        <v>0</v>
      </c>
      <c r="BX8" s="219">
        <f>BW8*(1+Cockpit!$H$26)</f>
        <v>0</v>
      </c>
      <c r="BY8" s="219">
        <f>BX8*(1+Cockpit!$H$26)</f>
        <v>0</v>
      </c>
      <c r="BZ8" s="219">
        <f>BY8*(1+Cockpit!$H$26)</f>
        <v>0</v>
      </c>
      <c r="CA8" s="219">
        <f>BZ8*(1+Cockpit!$H$26)</f>
        <v>0</v>
      </c>
      <c r="CB8" s="219">
        <f>CA8*(1+Cockpit!$H$26)</f>
        <v>0</v>
      </c>
      <c r="CC8" s="219">
        <f>CB8*(1+Cockpit!$H$26)</f>
        <v>0</v>
      </c>
      <c r="CD8" s="219">
        <f>CC8*(1+Cockpit!$H$26)</f>
        <v>0</v>
      </c>
      <c r="CE8" s="219">
        <f>CD8*(1+Cockpit!$H$26)</f>
        <v>0</v>
      </c>
      <c r="CF8" s="219">
        <f>CE8*(1+Cockpit!$H$26)</f>
        <v>0</v>
      </c>
      <c r="CG8" s="219">
        <f>CF8*(1+Cockpit!$H$26)</f>
        <v>0</v>
      </c>
      <c r="CH8" s="220">
        <f>CG8*(1+Cockpit!$H$26)</f>
        <v>0</v>
      </c>
    </row>
    <row r="9" spans="1:86">
      <c r="B9" s="500" t="s">
        <v>222</v>
      </c>
      <c r="C9" s="501"/>
      <c r="D9" s="27">
        <f>Cockpit!K9</f>
        <v>0</v>
      </c>
      <c r="E9" s="27">
        <f>D9*(1+Cockpit!$H$25)</f>
        <v>0</v>
      </c>
      <c r="F9" s="27">
        <f>E9*(1+Cockpit!$H$25)</f>
        <v>0</v>
      </c>
      <c r="G9" s="27">
        <f>F9*(1+Cockpit!$H$25)</f>
        <v>0</v>
      </c>
      <c r="H9" s="27">
        <f>G9*(1+Cockpit!$H$25)</f>
        <v>0</v>
      </c>
      <c r="I9" s="27">
        <f>H9*(1+Cockpit!$H$25)</f>
        <v>0</v>
      </c>
      <c r="J9" s="27">
        <f>I9*(1+Cockpit!$H$25)</f>
        <v>0</v>
      </c>
      <c r="K9" s="27">
        <f>J9*(1+Cockpit!$H$25)</f>
        <v>0</v>
      </c>
      <c r="L9" s="27">
        <f>K9*(1+Cockpit!$H$25)</f>
        <v>0</v>
      </c>
      <c r="M9" s="27">
        <f>L9*(1+Cockpit!$H$25)</f>
        <v>0</v>
      </c>
      <c r="N9" s="27">
        <f>M9*(1+Cockpit!$H$25)</f>
        <v>0</v>
      </c>
      <c r="O9" s="27">
        <f>N9*(1+Cockpit!$H$25)</f>
        <v>0</v>
      </c>
      <c r="P9" s="27">
        <f>O9*(1+Cockpit!$H$25)</f>
        <v>0</v>
      </c>
      <c r="Q9" s="27">
        <f>P9*(1+Cockpit!$H$25)</f>
        <v>0</v>
      </c>
      <c r="R9" s="27">
        <f>Q9*(1+Cockpit!$H$25)</f>
        <v>0</v>
      </c>
      <c r="S9" s="27">
        <f>R9*(1+Cockpit!$H$25)</f>
        <v>0</v>
      </c>
      <c r="T9" s="27">
        <f>S9*(1+Cockpit!$H$25)</f>
        <v>0</v>
      </c>
      <c r="U9" s="27">
        <f>T9*(1+Cockpit!$H$25)</f>
        <v>0</v>
      </c>
      <c r="V9" s="27">
        <f>U9*(1+Cockpit!$H$25)</f>
        <v>0</v>
      </c>
      <c r="W9" s="27">
        <f>V9*(1+Cockpit!$H$25)</f>
        <v>0</v>
      </c>
      <c r="X9" s="27">
        <f>W9*(1+Cockpit!$H$25)</f>
        <v>0</v>
      </c>
      <c r="Y9" s="27">
        <f>X9*(1+Cockpit!$H$25)</f>
        <v>0</v>
      </c>
      <c r="Z9" s="27">
        <f>Y9*(1+Cockpit!$H$25)</f>
        <v>0</v>
      </c>
      <c r="AA9" s="27">
        <f>Z9*(1+Cockpit!$H$25)</f>
        <v>0</v>
      </c>
      <c r="AB9" s="27">
        <f>AA9*(1+Cockpit!$H$25)</f>
        <v>0</v>
      </c>
      <c r="AC9" s="27">
        <f>AB9*(1+Cockpit!$H$25)</f>
        <v>0</v>
      </c>
      <c r="AD9" s="27">
        <f>AC9*(1+Cockpit!$H$25)</f>
        <v>0</v>
      </c>
      <c r="AE9" s="27">
        <f>AD9*(1+Cockpit!$H$25)</f>
        <v>0</v>
      </c>
      <c r="AF9" s="27">
        <f>AE9*(1+Cockpit!$H$25)</f>
        <v>0</v>
      </c>
      <c r="AG9" s="27">
        <f>AF9*(1+Cockpit!$H$25)</f>
        <v>0</v>
      </c>
      <c r="AH9" s="27">
        <f>AG9*(1+Cockpit!$H$25)</f>
        <v>0</v>
      </c>
      <c r="AI9" s="27">
        <f>AH9*(1+Cockpit!$H$25)</f>
        <v>0</v>
      </c>
      <c r="AJ9" s="27">
        <f>AI9*(1+Cockpit!$H$25)</f>
        <v>0</v>
      </c>
      <c r="AK9" s="27">
        <f>AJ9*(1+Cockpit!$H$25)</f>
        <v>0</v>
      </c>
      <c r="AL9" s="27">
        <f>AK9*(1+Cockpit!$H$25)</f>
        <v>0</v>
      </c>
      <c r="AM9" s="27">
        <f>AL9*(1+Cockpit!$H$25)</f>
        <v>0</v>
      </c>
      <c r="AN9" s="27">
        <f>AM9*(1+Cockpit!$H$25)</f>
        <v>0</v>
      </c>
      <c r="AO9" s="27">
        <f>AN9*(1+Cockpit!$H$25)</f>
        <v>0</v>
      </c>
      <c r="AP9" s="27">
        <f>AO9*(1+Cockpit!$H$25)</f>
        <v>0</v>
      </c>
      <c r="AQ9" s="27">
        <f>AP9*(1+Cockpit!$H$25)</f>
        <v>0</v>
      </c>
      <c r="AR9" s="27">
        <f>AQ9*(1+Cockpit!$H$25)</f>
        <v>0</v>
      </c>
      <c r="AS9" s="27">
        <f>AR9*(1+Cockpit!$H$25)</f>
        <v>0</v>
      </c>
      <c r="AT9" s="27">
        <f>AS9*(1+Cockpit!$H$25)</f>
        <v>0</v>
      </c>
      <c r="AU9" s="27">
        <f>AT9*(1+Cockpit!$H$25)</f>
        <v>0</v>
      </c>
      <c r="AV9" s="27">
        <f>AU9*(1+Cockpit!$H$25)</f>
        <v>0</v>
      </c>
      <c r="AW9" s="27">
        <f>AV9*(1+Cockpit!$H$25)</f>
        <v>0</v>
      </c>
      <c r="AX9" s="27">
        <f>AW9*(1+Cockpit!$H$25)</f>
        <v>0</v>
      </c>
      <c r="AY9" s="27">
        <f>AX9*(1+Cockpit!$H$25)</f>
        <v>0</v>
      </c>
      <c r="AZ9" s="27">
        <f>AY9*(1+Cockpit!$H$25)</f>
        <v>0</v>
      </c>
      <c r="BA9" s="27">
        <f>AZ9*(1+Cockpit!$H$25)</f>
        <v>0</v>
      </c>
      <c r="BB9" s="27">
        <f>BA9*(1+Cockpit!$H$25)</f>
        <v>0</v>
      </c>
      <c r="BC9" s="27">
        <f>BB9*(1+Cockpit!$H$25)</f>
        <v>0</v>
      </c>
      <c r="BD9" s="27">
        <f>BC9*(1+Cockpit!$H$25)</f>
        <v>0</v>
      </c>
      <c r="BE9" s="27">
        <f>BD9*(1+Cockpit!$H$25)</f>
        <v>0</v>
      </c>
      <c r="BF9" s="27">
        <f>BE9*(1+Cockpit!$H$25)</f>
        <v>0</v>
      </c>
      <c r="BG9" s="27">
        <f>BF9*(1+Cockpit!$H$25)</f>
        <v>0</v>
      </c>
      <c r="BH9" s="27">
        <f>BG9*(1+Cockpit!$H$25)</f>
        <v>0</v>
      </c>
      <c r="BI9" s="27">
        <f>BH9*(1+Cockpit!$H$25)</f>
        <v>0</v>
      </c>
      <c r="BJ9" s="27">
        <f>BI9*(1+Cockpit!$H$25)</f>
        <v>0</v>
      </c>
      <c r="BK9" s="27">
        <f>BJ9*(1+Cockpit!$H$25)</f>
        <v>0</v>
      </c>
      <c r="BL9" s="27">
        <f>BK9*(1+Cockpit!$H$25)</f>
        <v>0</v>
      </c>
      <c r="BM9" s="27">
        <f>BL9*(1+Cockpit!$H$25)</f>
        <v>0</v>
      </c>
      <c r="BN9" s="27">
        <f>BM9*(1+Cockpit!$H$25)</f>
        <v>0</v>
      </c>
      <c r="BO9" s="27">
        <f>BN9*(1+Cockpit!$H$25)</f>
        <v>0</v>
      </c>
      <c r="BP9" s="27">
        <f>BO9*(1+Cockpit!$H$25)</f>
        <v>0</v>
      </c>
      <c r="BQ9" s="27">
        <f>BP9*(1+Cockpit!$H$25)</f>
        <v>0</v>
      </c>
      <c r="BR9" s="27">
        <f>BQ9*(1+Cockpit!$H$25)</f>
        <v>0</v>
      </c>
      <c r="BS9" s="27">
        <f>BR9*(1+Cockpit!$H$25)</f>
        <v>0</v>
      </c>
      <c r="BT9" s="27">
        <f>BS9*(1+Cockpit!$H$25)</f>
        <v>0</v>
      </c>
      <c r="BU9" s="27">
        <f>BT9*(1+Cockpit!$H$25)</f>
        <v>0</v>
      </c>
      <c r="BV9" s="27">
        <f>BU9*(1+Cockpit!$H$25)</f>
        <v>0</v>
      </c>
      <c r="BW9" s="27">
        <f>BV9*(1+Cockpit!$H$25)</f>
        <v>0</v>
      </c>
      <c r="BX9" s="27">
        <f>BW9*(1+Cockpit!$H$25)</f>
        <v>0</v>
      </c>
      <c r="BY9" s="27">
        <f>BX9*(1+Cockpit!$H$25)</f>
        <v>0</v>
      </c>
      <c r="BZ9" s="27">
        <f>BY9*(1+Cockpit!$H$25)</f>
        <v>0</v>
      </c>
      <c r="CA9" s="27">
        <f>BZ9*(1+Cockpit!$H$25)</f>
        <v>0</v>
      </c>
      <c r="CB9" s="27">
        <f>CA9*(1+Cockpit!$H$25)</f>
        <v>0</v>
      </c>
      <c r="CC9" s="27">
        <f>CB9*(1+Cockpit!$H$25)</f>
        <v>0</v>
      </c>
      <c r="CD9" s="27">
        <f>CC9*(1+Cockpit!$H$25)</f>
        <v>0</v>
      </c>
      <c r="CE9" s="27">
        <f>CD9*(1+Cockpit!$H$25)</f>
        <v>0</v>
      </c>
      <c r="CF9" s="27">
        <f>CE9*(1+Cockpit!$H$25)</f>
        <v>0</v>
      </c>
      <c r="CG9" s="27">
        <f>CF9*(1+Cockpit!$H$25)</f>
        <v>0</v>
      </c>
      <c r="CH9" s="221">
        <f>CG9*(1+Cockpit!$H$25)</f>
        <v>0</v>
      </c>
    </row>
    <row r="10" spans="1:86" ht="16" thickBot="1">
      <c r="B10" s="498" t="s">
        <v>66</v>
      </c>
      <c r="C10" s="499"/>
      <c r="D10" s="222">
        <f t="shared" ref="D10:AI10" si="0">D8+D9</f>
        <v>0</v>
      </c>
      <c r="E10" s="222">
        <f t="shared" si="0"/>
        <v>0</v>
      </c>
      <c r="F10" s="222">
        <f t="shared" si="0"/>
        <v>0</v>
      </c>
      <c r="G10" s="222">
        <f t="shared" si="0"/>
        <v>0</v>
      </c>
      <c r="H10" s="222">
        <f t="shared" si="0"/>
        <v>0</v>
      </c>
      <c r="I10" s="222">
        <f t="shared" si="0"/>
        <v>0</v>
      </c>
      <c r="J10" s="222">
        <f t="shared" si="0"/>
        <v>0</v>
      </c>
      <c r="K10" s="222">
        <f t="shared" si="0"/>
        <v>0</v>
      </c>
      <c r="L10" s="222">
        <f t="shared" si="0"/>
        <v>0</v>
      </c>
      <c r="M10" s="222">
        <f t="shared" si="0"/>
        <v>0</v>
      </c>
      <c r="N10" s="222">
        <f t="shared" si="0"/>
        <v>0</v>
      </c>
      <c r="O10" s="222">
        <f t="shared" si="0"/>
        <v>0</v>
      </c>
      <c r="P10" s="222">
        <f t="shared" si="0"/>
        <v>0</v>
      </c>
      <c r="Q10" s="222">
        <f t="shared" si="0"/>
        <v>0</v>
      </c>
      <c r="R10" s="222">
        <f t="shared" si="0"/>
        <v>0</v>
      </c>
      <c r="S10" s="222">
        <f t="shared" si="0"/>
        <v>0</v>
      </c>
      <c r="T10" s="222">
        <f t="shared" si="0"/>
        <v>0</v>
      </c>
      <c r="U10" s="222">
        <f t="shared" si="0"/>
        <v>0</v>
      </c>
      <c r="V10" s="222">
        <f t="shared" si="0"/>
        <v>0</v>
      </c>
      <c r="W10" s="222">
        <f t="shared" si="0"/>
        <v>0</v>
      </c>
      <c r="X10" s="222">
        <f t="shared" si="0"/>
        <v>0</v>
      </c>
      <c r="Y10" s="222">
        <f t="shared" si="0"/>
        <v>0</v>
      </c>
      <c r="Z10" s="222">
        <f t="shared" si="0"/>
        <v>0</v>
      </c>
      <c r="AA10" s="222">
        <f t="shared" si="0"/>
        <v>0</v>
      </c>
      <c r="AB10" s="222">
        <f t="shared" si="0"/>
        <v>0</v>
      </c>
      <c r="AC10" s="222">
        <f t="shared" si="0"/>
        <v>0</v>
      </c>
      <c r="AD10" s="222">
        <f t="shared" si="0"/>
        <v>0</v>
      </c>
      <c r="AE10" s="222">
        <f t="shared" si="0"/>
        <v>0</v>
      </c>
      <c r="AF10" s="222">
        <f t="shared" si="0"/>
        <v>0</v>
      </c>
      <c r="AG10" s="222">
        <f t="shared" si="0"/>
        <v>0</v>
      </c>
      <c r="AH10" s="222">
        <f t="shared" si="0"/>
        <v>0</v>
      </c>
      <c r="AI10" s="222">
        <f t="shared" si="0"/>
        <v>0</v>
      </c>
      <c r="AJ10" s="222">
        <f t="shared" ref="AJ10:BA10" si="1">AJ8+AJ9</f>
        <v>0</v>
      </c>
      <c r="AK10" s="222">
        <f t="shared" si="1"/>
        <v>0</v>
      </c>
      <c r="AL10" s="222">
        <f t="shared" si="1"/>
        <v>0</v>
      </c>
      <c r="AM10" s="222">
        <f t="shared" si="1"/>
        <v>0</v>
      </c>
      <c r="AN10" s="222">
        <f t="shared" si="1"/>
        <v>0</v>
      </c>
      <c r="AO10" s="222">
        <f t="shared" si="1"/>
        <v>0</v>
      </c>
      <c r="AP10" s="222">
        <f t="shared" si="1"/>
        <v>0</v>
      </c>
      <c r="AQ10" s="222">
        <f t="shared" si="1"/>
        <v>0</v>
      </c>
      <c r="AR10" s="222">
        <f t="shared" si="1"/>
        <v>0</v>
      </c>
      <c r="AS10" s="222">
        <f t="shared" si="1"/>
        <v>0</v>
      </c>
      <c r="AT10" s="222">
        <f t="shared" si="1"/>
        <v>0</v>
      </c>
      <c r="AU10" s="222">
        <f t="shared" si="1"/>
        <v>0</v>
      </c>
      <c r="AV10" s="222">
        <f t="shared" si="1"/>
        <v>0</v>
      </c>
      <c r="AW10" s="222">
        <f t="shared" si="1"/>
        <v>0</v>
      </c>
      <c r="AX10" s="222">
        <f t="shared" si="1"/>
        <v>0</v>
      </c>
      <c r="AY10" s="222">
        <f t="shared" si="1"/>
        <v>0</v>
      </c>
      <c r="AZ10" s="222">
        <f t="shared" si="1"/>
        <v>0</v>
      </c>
      <c r="BA10" s="222">
        <f t="shared" si="1"/>
        <v>0</v>
      </c>
      <c r="BB10" s="222">
        <f t="shared" ref="BB10:CH10" si="2">BB8+BB9</f>
        <v>0</v>
      </c>
      <c r="BC10" s="222">
        <f t="shared" si="2"/>
        <v>0</v>
      </c>
      <c r="BD10" s="222">
        <f t="shared" si="2"/>
        <v>0</v>
      </c>
      <c r="BE10" s="222">
        <f t="shared" si="2"/>
        <v>0</v>
      </c>
      <c r="BF10" s="222">
        <f t="shared" si="2"/>
        <v>0</v>
      </c>
      <c r="BG10" s="222">
        <f t="shared" si="2"/>
        <v>0</v>
      </c>
      <c r="BH10" s="222">
        <f t="shared" si="2"/>
        <v>0</v>
      </c>
      <c r="BI10" s="222">
        <f t="shared" si="2"/>
        <v>0</v>
      </c>
      <c r="BJ10" s="222">
        <f t="shared" si="2"/>
        <v>0</v>
      </c>
      <c r="BK10" s="222">
        <f t="shared" si="2"/>
        <v>0</v>
      </c>
      <c r="BL10" s="222">
        <f t="shared" si="2"/>
        <v>0</v>
      </c>
      <c r="BM10" s="222">
        <f t="shared" si="2"/>
        <v>0</v>
      </c>
      <c r="BN10" s="222">
        <f t="shared" si="2"/>
        <v>0</v>
      </c>
      <c r="BO10" s="222">
        <f t="shared" si="2"/>
        <v>0</v>
      </c>
      <c r="BP10" s="222">
        <f t="shared" si="2"/>
        <v>0</v>
      </c>
      <c r="BQ10" s="222">
        <f t="shared" si="2"/>
        <v>0</v>
      </c>
      <c r="BR10" s="222">
        <f t="shared" si="2"/>
        <v>0</v>
      </c>
      <c r="BS10" s="222">
        <f t="shared" si="2"/>
        <v>0</v>
      </c>
      <c r="BT10" s="222">
        <f t="shared" si="2"/>
        <v>0</v>
      </c>
      <c r="BU10" s="222">
        <f t="shared" si="2"/>
        <v>0</v>
      </c>
      <c r="BV10" s="222">
        <f t="shared" si="2"/>
        <v>0</v>
      </c>
      <c r="BW10" s="222">
        <f t="shared" si="2"/>
        <v>0</v>
      </c>
      <c r="BX10" s="222">
        <f t="shared" si="2"/>
        <v>0</v>
      </c>
      <c r="BY10" s="222">
        <f t="shared" si="2"/>
        <v>0</v>
      </c>
      <c r="BZ10" s="222">
        <f t="shared" si="2"/>
        <v>0</v>
      </c>
      <c r="CA10" s="222">
        <f t="shared" si="2"/>
        <v>0</v>
      </c>
      <c r="CB10" s="222">
        <f t="shared" si="2"/>
        <v>0</v>
      </c>
      <c r="CC10" s="222">
        <f t="shared" si="2"/>
        <v>0</v>
      </c>
      <c r="CD10" s="222">
        <f t="shared" si="2"/>
        <v>0</v>
      </c>
      <c r="CE10" s="222">
        <f t="shared" si="2"/>
        <v>0</v>
      </c>
      <c r="CF10" s="222">
        <f t="shared" si="2"/>
        <v>0</v>
      </c>
      <c r="CG10" s="222">
        <f t="shared" si="2"/>
        <v>0</v>
      </c>
      <c r="CH10" s="223">
        <f t="shared" si="2"/>
        <v>0</v>
      </c>
    </row>
    <row r="11" spans="1:86" ht="36" customHeight="1" thickBot="1">
      <c r="I11" s="5"/>
      <c r="J11" s="5"/>
      <c r="K11" s="5"/>
      <c r="L11" s="5"/>
      <c r="N11" s="4"/>
      <c r="O11" s="4"/>
      <c r="P11" s="4"/>
      <c r="Q11" s="4"/>
    </row>
    <row r="12" spans="1:86" ht="17" thickBot="1">
      <c r="A12"/>
      <c r="B12" s="212" t="s">
        <v>59</v>
      </c>
      <c r="C12" s="25"/>
      <c r="D12" s="213"/>
      <c r="I12" s="5"/>
      <c r="J12" s="5"/>
      <c r="K12" s="5"/>
      <c r="L12" s="5"/>
    </row>
    <row r="13" spans="1:86" ht="16" thickBot="1">
      <c r="B13" s="214" t="s">
        <v>47</v>
      </c>
      <c r="C13" s="215"/>
      <c r="D13" s="216">
        <f ca="1">YEAR(Cockpit!C10)</f>
        <v>2024</v>
      </c>
      <c r="E13" s="217">
        <f ca="1">D13+1</f>
        <v>2025</v>
      </c>
      <c r="F13" s="217">
        <f t="shared" ref="F13:BA13" ca="1" si="3">E13+1</f>
        <v>2026</v>
      </c>
      <c r="G13" s="217">
        <f t="shared" ca="1" si="3"/>
        <v>2027</v>
      </c>
      <c r="H13" s="217">
        <f t="shared" ca="1" si="3"/>
        <v>2028</v>
      </c>
      <c r="I13" s="217">
        <f t="shared" ca="1" si="3"/>
        <v>2029</v>
      </c>
      <c r="J13" s="217">
        <f t="shared" ca="1" si="3"/>
        <v>2030</v>
      </c>
      <c r="K13" s="217">
        <f t="shared" ca="1" si="3"/>
        <v>2031</v>
      </c>
      <c r="L13" s="217">
        <f t="shared" ca="1" si="3"/>
        <v>2032</v>
      </c>
      <c r="M13" s="217">
        <f t="shared" ca="1" si="3"/>
        <v>2033</v>
      </c>
      <c r="N13" s="217">
        <f t="shared" ca="1" si="3"/>
        <v>2034</v>
      </c>
      <c r="O13" s="217">
        <f t="shared" ca="1" si="3"/>
        <v>2035</v>
      </c>
      <c r="P13" s="217">
        <f t="shared" ca="1" si="3"/>
        <v>2036</v>
      </c>
      <c r="Q13" s="217">
        <f t="shared" ca="1" si="3"/>
        <v>2037</v>
      </c>
      <c r="R13" s="217">
        <f t="shared" ca="1" si="3"/>
        <v>2038</v>
      </c>
      <c r="S13" s="217">
        <f t="shared" ca="1" si="3"/>
        <v>2039</v>
      </c>
      <c r="T13" s="217">
        <f t="shared" ca="1" si="3"/>
        <v>2040</v>
      </c>
      <c r="U13" s="217">
        <f t="shared" ca="1" si="3"/>
        <v>2041</v>
      </c>
      <c r="V13" s="217">
        <f t="shared" ca="1" si="3"/>
        <v>2042</v>
      </c>
      <c r="W13" s="217">
        <f t="shared" ca="1" si="3"/>
        <v>2043</v>
      </c>
      <c r="X13" s="217">
        <f t="shared" ca="1" si="3"/>
        <v>2044</v>
      </c>
      <c r="Y13" s="217">
        <f t="shared" ca="1" si="3"/>
        <v>2045</v>
      </c>
      <c r="Z13" s="217">
        <f t="shared" ca="1" si="3"/>
        <v>2046</v>
      </c>
      <c r="AA13" s="217">
        <f t="shared" ca="1" si="3"/>
        <v>2047</v>
      </c>
      <c r="AB13" s="217">
        <f t="shared" ca="1" si="3"/>
        <v>2048</v>
      </c>
      <c r="AC13" s="217">
        <f t="shared" ca="1" si="3"/>
        <v>2049</v>
      </c>
      <c r="AD13" s="217">
        <f t="shared" ca="1" si="3"/>
        <v>2050</v>
      </c>
      <c r="AE13" s="217">
        <f t="shared" ca="1" si="3"/>
        <v>2051</v>
      </c>
      <c r="AF13" s="217">
        <f t="shared" ca="1" si="3"/>
        <v>2052</v>
      </c>
      <c r="AG13" s="217">
        <f t="shared" ca="1" si="3"/>
        <v>2053</v>
      </c>
      <c r="AH13" s="217">
        <f t="shared" ca="1" si="3"/>
        <v>2054</v>
      </c>
      <c r="AI13" s="217">
        <f t="shared" ca="1" si="3"/>
        <v>2055</v>
      </c>
      <c r="AJ13" s="217">
        <f t="shared" ca="1" si="3"/>
        <v>2056</v>
      </c>
      <c r="AK13" s="217">
        <f t="shared" ca="1" si="3"/>
        <v>2057</v>
      </c>
      <c r="AL13" s="217">
        <f t="shared" ca="1" si="3"/>
        <v>2058</v>
      </c>
      <c r="AM13" s="217">
        <f t="shared" ca="1" si="3"/>
        <v>2059</v>
      </c>
      <c r="AN13" s="217">
        <f t="shared" ca="1" si="3"/>
        <v>2060</v>
      </c>
      <c r="AO13" s="217">
        <f t="shared" ca="1" si="3"/>
        <v>2061</v>
      </c>
      <c r="AP13" s="217">
        <f t="shared" ca="1" si="3"/>
        <v>2062</v>
      </c>
      <c r="AQ13" s="217">
        <f t="shared" ca="1" si="3"/>
        <v>2063</v>
      </c>
      <c r="AR13" s="217">
        <f t="shared" ca="1" si="3"/>
        <v>2064</v>
      </c>
      <c r="AS13" s="217">
        <f t="shared" ca="1" si="3"/>
        <v>2065</v>
      </c>
      <c r="AT13" s="217">
        <f t="shared" ca="1" si="3"/>
        <v>2066</v>
      </c>
      <c r="AU13" s="217">
        <f t="shared" ca="1" si="3"/>
        <v>2067</v>
      </c>
      <c r="AV13" s="217">
        <f t="shared" ca="1" si="3"/>
        <v>2068</v>
      </c>
      <c r="AW13" s="217">
        <f t="shared" ca="1" si="3"/>
        <v>2069</v>
      </c>
      <c r="AX13" s="217">
        <f t="shared" ca="1" si="3"/>
        <v>2070</v>
      </c>
      <c r="AY13" s="217">
        <f t="shared" ca="1" si="3"/>
        <v>2071</v>
      </c>
      <c r="AZ13" s="217">
        <f t="shared" ca="1" si="3"/>
        <v>2072</v>
      </c>
      <c r="BA13" s="217">
        <f t="shared" ca="1" si="3"/>
        <v>2073</v>
      </c>
      <c r="BB13" s="217">
        <f t="shared" ref="BB13" ca="1" si="4">BA13+1</f>
        <v>2074</v>
      </c>
      <c r="BC13" s="217">
        <f t="shared" ref="BC13" ca="1" si="5">BB13+1</f>
        <v>2075</v>
      </c>
      <c r="BD13" s="217">
        <f t="shared" ref="BD13" ca="1" si="6">BC13+1</f>
        <v>2076</v>
      </c>
      <c r="BE13" s="217">
        <f t="shared" ref="BE13" ca="1" si="7">BD13+1</f>
        <v>2077</v>
      </c>
      <c r="BF13" s="217">
        <f t="shared" ref="BF13" ca="1" si="8">BE13+1</f>
        <v>2078</v>
      </c>
      <c r="BG13" s="217">
        <f t="shared" ref="BG13" ca="1" si="9">BF13+1</f>
        <v>2079</v>
      </c>
      <c r="BH13" s="217">
        <f t="shared" ref="BH13" ca="1" si="10">BG13+1</f>
        <v>2080</v>
      </c>
      <c r="BI13" s="217">
        <f t="shared" ref="BI13" ca="1" si="11">BH13+1</f>
        <v>2081</v>
      </c>
      <c r="BJ13" s="217">
        <f t="shared" ref="BJ13" ca="1" si="12">BI13+1</f>
        <v>2082</v>
      </c>
      <c r="BK13" s="217">
        <f t="shared" ref="BK13" ca="1" si="13">BJ13+1</f>
        <v>2083</v>
      </c>
      <c r="BL13" s="217">
        <f t="shared" ref="BL13" ca="1" si="14">BK13+1</f>
        <v>2084</v>
      </c>
      <c r="BM13" s="217">
        <f t="shared" ref="BM13" ca="1" si="15">BL13+1</f>
        <v>2085</v>
      </c>
      <c r="BN13" s="217">
        <f t="shared" ref="BN13" ca="1" si="16">BM13+1</f>
        <v>2086</v>
      </c>
      <c r="BO13" s="217">
        <f t="shared" ref="BO13" ca="1" si="17">BN13+1</f>
        <v>2087</v>
      </c>
      <c r="BP13" s="217">
        <f t="shared" ref="BP13" ca="1" si="18">BO13+1</f>
        <v>2088</v>
      </c>
      <c r="BQ13" s="217">
        <f t="shared" ref="BQ13" ca="1" si="19">BP13+1</f>
        <v>2089</v>
      </c>
      <c r="BR13" s="217">
        <f t="shared" ref="BR13" ca="1" si="20">BQ13+1</f>
        <v>2090</v>
      </c>
      <c r="BS13" s="217">
        <f t="shared" ref="BS13" ca="1" si="21">BR13+1</f>
        <v>2091</v>
      </c>
      <c r="BT13" s="217">
        <f t="shared" ref="BT13" ca="1" si="22">BS13+1</f>
        <v>2092</v>
      </c>
      <c r="BU13" s="217">
        <f t="shared" ref="BU13" ca="1" si="23">BT13+1</f>
        <v>2093</v>
      </c>
      <c r="BV13" s="217">
        <f t="shared" ref="BV13" ca="1" si="24">BU13+1</f>
        <v>2094</v>
      </c>
      <c r="BW13" s="217">
        <f t="shared" ref="BW13" ca="1" si="25">BV13+1</f>
        <v>2095</v>
      </c>
      <c r="BX13" s="217">
        <f t="shared" ref="BX13" ca="1" si="26">BW13+1</f>
        <v>2096</v>
      </c>
      <c r="BY13" s="217">
        <f t="shared" ref="BY13" ca="1" si="27">BX13+1</f>
        <v>2097</v>
      </c>
      <c r="BZ13" s="217">
        <f t="shared" ref="BZ13" ca="1" si="28">BY13+1</f>
        <v>2098</v>
      </c>
      <c r="CA13" s="217">
        <f t="shared" ref="CA13" ca="1" si="29">BZ13+1</f>
        <v>2099</v>
      </c>
      <c r="CB13" s="217">
        <f t="shared" ref="CB13" ca="1" si="30">CA13+1</f>
        <v>2100</v>
      </c>
      <c r="CC13" s="217">
        <f t="shared" ref="CC13" ca="1" si="31">CB13+1</f>
        <v>2101</v>
      </c>
      <c r="CD13" s="217">
        <f t="shared" ref="CD13" ca="1" si="32">CC13+1</f>
        <v>2102</v>
      </c>
      <c r="CE13" s="217">
        <f t="shared" ref="CE13" ca="1" si="33">CD13+1</f>
        <v>2103</v>
      </c>
      <c r="CF13" s="217">
        <f t="shared" ref="CF13" ca="1" si="34">CE13+1</f>
        <v>2104</v>
      </c>
      <c r="CG13" s="217">
        <f t="shared" ref="CG13" ca="1" si="35">CF13+1</f>
        <v>2105</v>
      </c>
      <c r="CH13" s="218">
        <f t="shared" ref="CH13" ca="1" si="36">CG13+1</f>
        <v>2106</v>
      </c>
    </row>
    <row r="14" spans="1:86">
      <c r="A14"/>
      <c r="B14" s="487" t="s">
        <v>64</v>
      </c>
      <c r="C14" s="488"/>
      <c r="D14" s="224">
        <f>Cockpit!D14+Cockpit!E29</f>
        <v>0</v>
      </c>
      <c r="E14" s="224">
        <f>D17</f>
        <v>0</v>
      </c>
      <c r="F14" s="224">
        <f t="shared" ref="F14:BA14" si="37">E17</f>
        <v>0</v>
      </c>
      <c r="G14" s="224">
        <f t="shared" si="37"/>
        <v>0</v>
      </c>
      <c r="H14" s="224">
        <f t="shared" si="37"/>
        <v>0</v>
      </c>
      <c r="I14" s="224">
        <f t="shared" si="37"/>
        <v>0</v>
      </c>
      <c r="J14" s="224">
        <f t="shared" si="37"/>
        <v>0</v>
      </c>
      <c r="K14" s="224">
        <f t="shared" si="37"/>
        <v>0</v>
      </c>
      <c r="L14" s="224">
        <f t="shared" si="37"/>
        <v>0</v>
      </c>
      <c r="M14" s="224">
        <f t="shared" si="37"/>
        <v>0</v>
      </c>
      <c r="N14" s="224">
        <f t="shared" si="37"/>
        <v>0</v>
      </c>
      <c r="O14" s="224">
        <f t="shared" si="37"/>
        <v>0</v>
      </c>
      <c r="P14" s="224">
        <f t="shared" si="37"/>
        <v>0</v>
      </c>
      <c r="Q14" s="224">
        <f t="shared" si="37"/>
        <v>0</v>
      </c>
      <c r="R14" s="224">
        <f t="shared" si="37"/>
        <v>0</v>
      </c>
      <c r="S14" s="224">
        <f t="shared" si="37"/>
        <v>0</v>
      </c>
      <c r="T14" s="224">
        <f t="shared" si="37"/>
        <v>0</v>
      </c>
      <c r="U14" s="224">
        <f t="shared" si="37"/>
        <v>0</v>
      </c>
      <c r="V14" s="224">
        <f t="shared" si="37"/>
        <v>0</v>
      </c>
      <c r="W14" s="224">
        <f t="shared" si="37"/>
        <v>0</v>
      </c>
      <c r="X14" s="224">
        <f t="shared" si="37"/>
        <v>0</v>
      </c>
      <c r="Y14" s="224">
        <f t="shared" si="37"/>
        <v>0</v>
      </c>
      <c r="Z14" s="224">
        <f t="shared" si="37"/>
        <v>0</v>
      </c>
      <c r="AA14" s="224">
        <f t="shared" si="37"/>
        <v>0</v>
      </c>
      <c r="AB14" s="224">
        <f t="shared" si="37"/>
        <v>0</v>
      </c>
      <c r="AC14" s="224">
        <f t="shared" si="37"/>
        <v>0</v>
      </c>
      <c r="AD14" s="224">
        <f t="shared" si="37"/>
        <v>0</v>
      </c>
      <c r="AE14" s="224">
        <f t="shared" si="37"/>
        <v>0</v>
      </c>
      <c r="AF14" s="224">
        <f t="shared" si="37"/>
        <v>0</v>
      </c>
      <c r="AG14" s="224">
        <f t="shared" si="37"/>
        <v>0</v>
      </c>
      <c r="AH14" s="224">
        <f t="shared" si="37"/>
        <v>0</v>
      </c>
      <c r="AI14" s="224">
        <f t="shared" si="37"/>
        <v>0</v>
      </c>
      <c r="AJ14" s="224">
        <f t="shared" si="37"/>
        <v>0</v>
      </c>
      <c r="AK14" s="224">
        <f t="shared" si="37"/>
        <v>0</v>
      </c>
      <c r="AL14" s="224">
        <f t="shared" si="37"/>
        <v>0</v>
      </c>
      <c r="AM14" s="224">
        <f t="shared" si="37"/>
        <v>0</v>
      </c>
      <c r="AN14" s="224">
        <f t="shared" si="37"/>
        <v>0</v>
      </c>
      <c r="AO14" s="224">
        <f t="shared" si="37"/>
        <v>0</v>
      </c>
      <c r="AP14" s="224">
        <f t="shared" si="37"/>
        <v>0</v>
      </c>
      <c r="AQ14" s="224">
        <f t="shared" si="37"/>
        <v>0</v>
      </c>
      <c r="AR14" s="224">
        <f t="shared" si="37"/>
        <v>0</v>
      </c>
      <c r="AS14" s="224">
        <f t="shared" si="37"/>
        <v>0</v>
      </c>
      <c r="AT14" s="224">
        <f t="shared" si="37"/>
        <v>0</v>
      </c>
      <c r="AU14" s="224">
        <f t="shared" si="37"/>
        <v>0</v>
      </c>
      <c r="AV14" s="224">
        <f t="shared" si="37"/>
        <v>0</v>
      </c>
      <c r="AW14" s="224">
        <f t="shared" si="37"/>
        <v>0</v>
      </c>
      <c r="AX14" s="224">
        <f t="shared" si="37"/>
        <v>0</v>
      </c>
      <c r="AY14" s="224">
        <f t="shared" si="37"/>
        <v>0</v>
      </c>
      <c r="AZ14" s="224">
        <f t="shared" si="37"/>
        <v>0</v>
      </c>
      <c r="BA14" s="224">
        <f t="shared" si="37"/>
        <v>0</v>
      </c>
      <c r="BB14" s="224">
        <f t="shared" ref="BB14" si="38">BA17</f>
        <v>0</v>
      </c>
      <c r="BC14" s="224">
        <f t="shared" ref="BC14" si="39">BB17</f>
        <v>0</v>
      </c>
      <c r="BD14" s="224">
        <f t="shared" ref="BD14" si="40">BC17</f>
        <v>0</v>
      </c>
      <c r="BE14" s="224">
        <f t="shared" ref="BE14" si="41">BD17</f>
        <v>0</v>
      </c>
      <c r="BF14" s="224">
        <f t="shared" ref="BF14" si="42">BE17</f>
        <v>0</v>
      </c>
      <c r="BG14" s="224">
        <f t="shared" ref="BG14" si="43">BF17</f>
        <v>0</v>
      </c>
      <c r="BH14" s="224">
        <f t="shared" ref="BH14" si="44">BG17</f>
        <v>0</v>
      </c>
      <c r="BI14" s="224">
        <f t="shared" ref="BI14" si="45">BH17</f>
        <v>0</v>
      </c>
      <c r="BJ14" s="224">
        <f t="shared" ref="BJ14" si="46">BI17</f>
        <v>0</v>
      </c>
      <c r="BK14" s="224">
        <f t="shared" ref="BK14" si="47">BJ17</f>
        <v>0</v>
      </c>
      <c r="BL14" s="224">
        <f t="shared" ref="BL14" si="48">BK17</f>
        <v>0</v>
      </c>
      <c r="BM14" s="224">
        <f t="shared" ref="BM14" si="49">BL17</f>
        <v>0</v>
      </c>
      <c r="BN14" s="224">
        <f t="shared" ref="BN14" si="50">BM17</f>
        <v>0</v>
      </c>
      <c r="BO14" s="224">
        <f t="shared" ref="BO14" si="51">BN17</f>
        <v>0</v>
      </c>
      <c r="BP14" s="224">
        <f t="shared" ref="BP14" si="52">BO17</f>
        <v>0</v>
      </c>
      <c r="BQ14" s="224">
        <f t="shared" ref="BQ14" si="53">BP17</f>
        <v>0</v>
      </c>
      <c r="BR14" s="224">
        <f t="shared" ref="BR14" si="54">BQ17</f>
        <v>0</v>
      </c>
      <c r="BS14" s="224">
        <f t="shared" ref="BS14" si="55">BR17</f>
        <v>0</v>
      </c>
      <c r="BT14" s="224">
        <f t="shared" ref="BT14" si="56">BS17</f>
        <v>0</v>
      </c>
      <c r="BU14" s="224">
        <f t="shared" ref="BU14" si="57">BT17</f>
        <v>0</v>
      </c>
      <c r="BV14" s="224">
        <f t="shared" ref="BV14" si="58">BU17</f>
        <v>0</v>
      </c>
      <c r="BW14" s="224">
        <f t="shared" ref="BW14" si="59">BV17</f>
        <v>0</v>
      </c>
      <c r="BX14" s="224">
        <f t="shared" ref="BX14" si="60">BW17</f>
        <v>0</v>
      </c>
      <c r="BY14" s="224">
        <f t="shared" ref="BY14" si="61">BX17</f>
        <v>0</v>
      </c>
      <c r="BZ14" s="224">
        <f t="shared" ref="BZ14" si="62">BY17</f>
        <v>0</v>
      </c>
      <c r="CA14" s="224">
        <f t="shared" ref="CA14" si="63">BZ17</f>
        <v>0</v>
      </c>
      <c r="CB14" s="224">
        <f t="shared" ref="CB14" si="64">CA17</f>
        <v>0</v>
      </c>
      <c r="CC14" s="224">
        <f t="shared" ref="CC14" si="65">CB17</f>
        <v>0</v>
      </c>
      <c r="CD14" s="224">
        <f t="shared" ref="CD14" si="66">CC17</f>
        <v>0</v>
      </c>
      <c r="CE14" s="224">
        <f t="shared" ref="CE14" si="67">CD17</f>
        <v>0</v>
      </c>
      <c r="CF14" s="224">
        <f t="shared" ref="CF14" si="68">CE17</f>
        <v>0</v>
      </c>
      <c r="CG14" s="224">
        <f t="shared" ref="CG14" si="69">CF17</f>
        <v>0</v>
      </c>
      <c r="CH14" s="225">
        <f t="shared" ref="CH14" si="70">CG17</f>
        <v>0</v>
      </c>
    </row>
    <row r="15" spans="1:86">
      <c r="A15"/>
      <c r="B15" s="457" t="s">
        <v>65</v>
      </c>
      <c r="C15" s="458"/>
      <c r="D15" s="3">
        <f>D14-'Kennzahlen im Verlauf'!D63</f>
        <v>0</v>
      </c>
      <c r="E15" s="3">
        <f>E14-'Kennzahlen im Verlauf'!E63</f>
        <v>0</v>
      </c>
      <c r="F15" s="3">
        <f>F14-'Kennzahlen im Verlauf'!F63</f>
        <v>0</v>
      </c>
      <c r="G15" s="3">
        <f>G14-'Kennzahlen im Verlauf'!G63</f>
        <v>0</v>
      </c>
      <c r="H15" s="3">
        <f>H14-'Kennzahlen im Verlauf'!H63</f>
        <v>0</v>
      </c>
      <c r="I15" s="3">
        <f>I14-'Kennzahlen im Verlauf'!I63</f>
        <v>0</v>
      </c>
      <c r="J15" s="3">
        <f>J14-'Kennzahlen im Verlauf'!J63</f>
        <v>0</v>
      </c>
      <c r="K15" s="3">
        <f>K14-'Kennzahlen im Verlauf'!K63</f>
        <v>0</v>
      </c>
      <c r="L15" s="3">
        <f>L14-'Kennzahlen im Verlauf'!L63</f>
        <v>0</v>
      </c>
      <c r="M15" s="3">
        <f>M14-'Kennzahlen im Verlauf'!M63</f>
        <v>0</v>
      </c>
      <c r="N15" s="3">
        <f>N14-'Kennzahlen im Verlauf'!N63</f>
        <v>0</v>
      </c>
      <c r="O15" s="3">
        <f>O14-'Kennzahlen im Verlauf'!O63</f>
        <v>0</v>
      </c>
      <c r="P15" s="3">
        <f>P14-'Kennzahlen im Verlauf'!P63</f>
        <v>0</v>
      </c>
      <c r="Q15" s="3">
        <f>Q14-'Kennzahlen im Verlauf'!Q63</f>
        <v>0</v>
      </c>
      <c r="R15" s="3">
        <f>R14-'Kennzahlen im Verlauf'!R63</f>
        <v>0</v>
      </c>
      <c r="S15" s="3">
        <f>S14-'Kennzahlen im Verlauf'!S63</f>
        <v>0</v>
      </c>
      <c r="T15" s="3">
        <f>T14-'Kennzahlen im Verlauf'!T63</f>
        <v>0</v>
      </c>
      <c r="U15" s="3">
        <f>U14-'Kennzahlen im Verlauf'!U63</f>
        <v>0</v>
      </c>
      <c r="V15" s="3">
        <f>V14-'Kennzahlen im Verlauf'!V63</f>
        <v>0</v>
      </c>
      <c r="W15" s="3">
        <f>W14-'Kennzahlen im Verlauf'!W63</f>
        <v>0</v>
      </c>
      <c r="X15" s="3">
        <f>X14-'Kennzahlen im Verlauf'!X63</f>
        <v>0</v>
      </c>
      <c r="Y15" s="3">
        <f>Y14-'Kennzahlen im Verlauf'!Y63</f>
        <v>0</v>
      </c>
      <c r="Z15" s="3">
        <f>Z14-'Kennzahlen im Verlauf'!Z63</f>
        <v>0</v>
      </c>
      <c r="AA15" s="3">
        <f>AA14-'Kennzahlen im Verlauf'!AA63</f>
        <v>0</v>
      </c>
      <c r="AB15" s="3">
        <f>AB14-'Kennzahlen im Verlauf'!AB63</f>
        <v>0</v>
      </c>
      <c r="AC15" s="3">
        <f>AC14-'Kennzahlen im Verlauf'!AC63</f>
        <v>0</v>
      </c>
      <c r="AD15" s="3">
        <f>AD14-'Kennzahlen im Verlauf'!AD63</f>
        <v>0</v>
      </c>
      <c r="AE15" s="3">
        <f>AE14-'Kennzahlen im Verlauf'!AE63</f>
        <v>0</v>
      </c>
      <c r="AF15" s="3">
        <f>AF14-'Kennzahlen im Verlauf'!AF63</f>
        <v>0</v>
      </c>
      <c r="AG15" s="3">
        <f>AG14-'Kennzahlen im Verlauf'!AG63</f>
        <v>0</v>
      </c>
      <c r="AH15" s="3">
        <f>AH14-'Kennzahlen im Verlauf'!AH63</f>
        <v>0</v>
      </c>
      <c r="AI15" s="3">
        <f>AI14-'Kennzahlen im Verlauf'!AI63</f>
        <v>0</v>
      </c>
      <c r="AJ15" s="3">
        <f>AJ14-'Kennzahlen im Verlauf'!AJ63</f>
        <v>0</v>
      </c>
      <c r="AK15" s="3">
        <f>AK14-'Kennzahlen im Verlauf'!AK63</f>
        <v>0</v>
      </c>
      <c r="AL15" s="3">
        <f>AL14-'Kennzahlen im Verlauf'!AL63</f>
        <v>0</v>
      </c>
      <c r="AM15" s="3">
        <f>AM14-'Kennzahlen im Verlauf'!AM63</f>
        <v>0</v>
      </c>
      <c r="AN15" s="3">
        <f>AN14-'Kennzahlen im Verlauf'!AN63</f>
        <v>0</v>
      </c>
      <c r="AO15" s="3">
        <f>AO14-'Kennzahlen im Verlauf'!AO63</f>
        <v>0</v>
      </c>
      <c r="AP15" s="3">
        <f>AP14-'Kennzahlen im Verlauf'!AP63</f>
        <v>0</v>
      </c>
      <c r="AQ15" s="3">
        <f>AQ14-'Kennzahlen im Verlauf'!AQ63</f>
        <v>0</v>
      </c>
      <c r="AR15" s="3">
        <f>AR14-'Kennzahlen im Verlauf'!AR63</f>
        <v>0</v>
      </c>
      <c r="AS15" s="3">
        <f>AS14-'Kennzahlen im Verlauf'!AS63</f>
        <v>0</v>
      </c>
      <c r="AT15" s="3">
        <f>AT14-'Kennzahlen im Verlauf'!AT63</f>
        <v>0</v>
      </c>
      <c r="AU15" s="3">
        <f>AU14-'Kennzahlen im Verlauf'!AU63</f>
        <v>0</v>
      </c>
      <c r="AV15" s="3">
        <f>AV14-'Kennzahlen im Verlauf'!AV63</f>
        <v>0</v>
      </c>
      <c r="AW15" s="3">
        <f>AW14-'Kennzahlen im Verlauf'!AW63</f>
        <v>0</v>
      </c>
      <c r="AX15" s="3">
        <f>AX14-'Kennzahlen im Verlauf'!AX63</f>
        <v>0</v>
      </c>
      <c r="AY15" s="3">
        <f>AY14-'Kennzahlen im Verlauf'!AY63</f>
        <v>0</v>
      </c>
      <c r="AZ15" s="3">
        <f>AZ14-'Kennzahlen im Verlauf'!AZ63</f>
        <v>0</v>
      </c>
      <c r="BA15" s="3">
        <f>BA14-'Kennzahlen im Verlauf'!BA63</f>
        <v>0</v>
      </c>
      <c r="BB15" s="3">
        <f>BB14-'Kennzahlen im Verlauf'!BB63</f>
        <v>0</v>
      </c>
      <c r="BC15" s="3">
        <f>BC14-'Kennzahlen im Verlauf'!BC63</f>
        <v>0</v>
      </c>
      <c r="BD15" s="3">
        <f>BD14-'Kennzahlen im Verlauf'!BD63</f>
        <v>0</v>
      </c>
      <c r="BE15" s="3">
        <f>BE14-'Kennzahlen im Verlauf'!BE63</f>
        <v>0</v>
      </c>
      <c r="BF15" s="3">
        <f>BF14-'Kennzahlen im Verlauf'!BF63</f>
        <v>0</v>
      </c>
      <c r="BG15" s="3">
        <f>BG14-'Kennzahlen im Verlauf'!BG63</f>
        <v>0</v>
      </c>
      <c r="BH15" s="3">
        <f>BH14-'Kennzahlen im Verlauf'!BH63</f>
        <v>0</v>
      </c>
      <c r="BI15" s="3">
        <f>BI14-'Kennzahlen im Verlauf'!BI63</f>
        <v>0</v>
      </c>
      <c r="BJ15" s="3">
        <f>BJ14-'Kennzahlen im Verlauf'!BJ63</f>
        <v>0</v>
      </c>
      <c r="BK15" s="3">
        <f>BK14-'Kennzahlen im Verlauf'!BK63</f>
        <v>0</v>
      </c>
      <c r="BL15" s="3">
        <f>BL14-'Kennzahlen im Verlauf'!BL63</f>
        <v>0</v>
      </c>
      <c r="BM15" s="3">
        <f>BM14-'Kennzahlen im Verlauf'!BM63</f>
        <v>0</v>
      </c>
      <c r="BN15" s="3">
        <f>BN14-'Kennzahlen im Verlauf'!BN63</f>
        <v>0</v>
      </c>
      <c r="BO15" s="3">
        <f>BO14-'Kennzahlen im Verlauf'!BO63</f>
        <v>0</v>
      </c>
      <c r="BP15" s="3">
        <f>BP14-'Kennzahlen im Verlauf'!BP63</f>
        <v>0</v>
      </c>
      <c r="BQ15" s="3">
        <f>BQ14-'Kennzahlen im Verlauf'!BQ63</f>
        <v>0</v>
      </c>
      <c r="BR15" s="3">
        <f>BR14-'Kennzahlen im Verlauf'!BR63</f>
        <v>0</v>
      </c>
      <c r="BS15" s="3">
        <f>BS14-'Kennzahlen im Verlauf'!BS63</f>
        <v>0</v>
      </c>
      <c r="BT15" s="3">
        <f>BT14-'Kennzahlen im Verlauf'!BT63</f>
        <v>0</v>
      </c>
      <c r="BU15" s="3">
        <f>BU14-'Kennzahlen im Verlauf'!BU63</f>
        <v>0</v>
      </c>
      <c r="BV15" s="3">
        <f>BV14-'Kennzahlen im Verlauf'!BV63</f>
        <v>0</v>
      </c>
      <c r="BW15" s="3">
        <f>BW14-'Kennzahlen im Verlauf'!BW63</f>
        <v>0</v>
      </c>
      <c r="BX15" s="3">
        <f>BX14-'Kennzahlen im Verlauf'!BX63</f>
        <v>0</v>
      </c>
      <c r="BY15" s="3">
        <f>BY14-'Kennzahlen im Verlauf'!BY63</f>
        <v>0</v>
      </c>
      <c r="BZ15" s="3">
        <f>BZ14-'Kennzahlen im Verlauf'!BZ63</f>
        <v>0</v>
      </c>
      <c r="CA15" s="3">
        <f>CA14-'Kennzahlen im Verlauf'!CA63</f>
        <v>0</v>
      </c>
      <c r="CB15" s="3">
        <f>CB14-'Kennzahlen im Verlauf'!CB63</f>
        <v>0</v>
      </c>
      <c r="CC15" s="3">
        <f>CC14-'Kennzahlen im Verlauf'!CC63</f>
        <v>0</v>
      </c>
      <c r="CD15" s="3">
        <f>CD14-'Kennzahlen im Verlauf'!CD63</f>
        <v>0</v>
      </c>
      <c r="CE15" s="3">
        <f>CE14-'Kennzahlen im Verlauf'!CE63</f>
        <v>0</v>
      </c>
      <c r="CF15" s="3">
        <f>CF14-'Kennzahlen im Verlauf'!CF63</f>
        <v>0</v>
      </c>
      <c r="CG15" s="3">
        <f>CG14-'Kennzahlen im Verlauf'!CG63</f>
        <v>0</v>
      </c>
      <c r="CH15" s="226">
        <f>CH14-'Kennzahlen im Verlauf'!CH63</f>
        <v>0</v>
      </c>
    </row>
    <row r="16" spans="1:86">
      <c r="A16"/>
      <c r="B16" s="457" t="s">
        <v>94</v>
      </c>
      <c r="C16" s="458"/>
      <c r="D16" s="3">
        <f>D14*Cockpit!$H$27</f>
        <v>0</v>
      </c>
      <c r="E16" s="3">
        <f>E14*Cockpit!$H$27</f>
        <v>0</v>
      </c>
      <c r="F16" s="3">
        <f>F14*Cockpit!$H$27</f>
        <v>0</v>
      </c>
      <c r="G16" s="3">
        <f>G14*Cockpit!$H$27</f>
        <v>0</v>
      </c>
      <c r="H16" s="3">
        <f>H14*Cockpit!$H$27</f>
        <v>0</v>
      </c>
      <c r="I16" s="3">
        <f>I14*Cockpit!$H$27</f>
        <v>0</v>
      </c>
      <c r="J16" s="3">
        <f>J14*Cockpit!$H$27</f>
        <v>0</v>
      </c>
      <c r="K16" s="3">
        <f>K14*Cockpit!$H$27</f>
        <v>0</v>
      </c>
      <c r="L16" s="3">
        <f>L14*Cockpit!$H$27</f>
        <v>0</v>
      </c>
      <c r="M16" s="3">
        <f>M14*Cockpit!$H$27</f>
        <v>0</v>
      </c>
      <c r="N16" s="3">
        <f>N14*Cockpit!$H$27</f>
        <v>0</v>
      </c>
      <c r="O16" s="3">
        <f>O14*Cockpit!$H$27</f>
        <v>0</v>
      </c>
      <c r="P16" s="3">
        <f>P14*Cockpit!$H$27</f>
        <v>0</v>
      </c>
      <c r="Q16" s="3">
        <f>Q14*Cockpit!$H$27</f>
        <v>0</v>
      </c>
      <c r="R16" s="3">
        <f>R14*Cockpit!$H$27</f>
        <v>0</v>
      </c>
      <c r="S16" s="3">
        <f>S14*Cockpit!$H$27</f>
        <v>0</v>
      </c>
      <c r="T16" s="3">
        <f>T14*Cockpit!$H$27</f>
        <v>0</v>
      </c>
      <c r="U16" s="3">
        <f>U14*Cockpit!$H$27</f>
        <v>0</v>
      </c>
      <c r="V16" s="3">
        <f>V14*Cockpit!$H$27</f>
        <v>0</v>
      </c>
      <c r="W16" s="3">
        <f>W14*Cockpit!$H$27</f>
        <v>0</v>
      </c>
      <c r="X16" s="3">
        <f>X14*Cockpit!$H$27</f>
        <v>0</v>
      </c>
      <c r="Y16" s="3">
        <f>Y14*Cockpit!$H$27</f>
        <v>0</v>
      </c>
      <c r="Z16" s="3">
        <f>Z14*Cockpit!$H$27</f>
        <v>0</v>
      </c>
      <c r="AA16" s="3">
        <f>AA14*Cockpit!$H$27</f>
        <v>0</v>
      </c>
      <c r="AB16" s="3">
        <f>AB14*Cockpit!$H$27</f>
        <v>0</v>
      </c>
      <c r="AC16" s="3">
        <f>AC14*Cockpit!$H$27</f>
        <v>0</v>
      </c>
      <c r="AD16" s="3">
        <f>AD14*Cockpit!$H$27</f>
        <v>0</v>
      </c>
      <c r="AE16" s="3">
        <f>AE14*Cockpit!$H$27</f>
        <v>0</v>
      </c>
      <c r="AF16" s="3">
        <f>AF14*Cockpit!$H$27</f>
        <v>0</v>
      </c>
      <c r="AG16" s="3">
        <f>AG14*Cockpit!$H$27</f>
        <v>0</v>
      </c>
      <c r="AH16" s="3">
        <f>AH14*Cockpit!$H$27</f>
        <v>0</v>
      </c>
      <c r="AI16" s="3">
        <f>AI14*Cockpit!$H$27</f>
        <v>0</v>
      </c>
      <c r="AJ16" s="3">
        <f>AJ14*Cockpit!$H$27</f>
        <v>0</v>
      </c>
      <c r="AK16" s="3">
        <f>AK14*Cockpit!$H$27</f>
        <v>0</v>
      </c>
      <c r="AL16" s="3">
        <f>AL14*Cockpit!$H$27</f>
        <v>0</v>
      </c>
      <c r="AM16" s="3">
        <f>AM14*Cockpit!$H$27</f>
        <v>0</v>
      </c>
      <c r="AN16" s="3">
        <f>AN14*Cockpit!$H$27</f>
        <v>0</v>
      </c>
      <c r="AO16" s="3">
        <f>AO14*Cockpit!$H$27</f>
        <v>0</v>
      </c>
      <c r="AP16" s="3">
        <f>AP14*Cockpit!$H$27</f>
        <v>0</v>
      </c>
      <c r="AQ16" s="3">
        <f>AQ14*Cockpit!$H$27</f>
        <v>0</v>
      </c>
      <c r="AR16" s="3">
        <f>AR14*Cockpit!$H$27</f>
        <v>0</v>
      </c>
      <c r="AS16" s="3">
        <f>AS14*Cockpit!$H$27</f>
        <v>0</v>
      </c>
      <c r="AT16" s="3">
        <f>AT14*Cockpit!$H$27</f>
        <v>0</v>
      </c>
      <c r="AU16" s="3">
        <f>AU14*Cockpit!$H$27</f>
        <v>0</v>
      </c>
      <c r="AV16" s="3">
        <f>AV14*Cockpit!$H$27</f>
        <v>0</v>
      </c>
      <c r="AW16" s="3">
        <f>AW14*Cockpit!$H$27</f>
        <v>0</v>
      </c>
      <c r="AX16" s="3">
        <f>AX14*Cockpit!$H$27</f>
        <v>0</v>
      </c>
      <c r="AY16" s="3">
        <f>AY14*Cockpit!$H$27</f>
        <v>0</v>
      </c>
      <c r="AZ16" s="3">
        <f>AZ14*Cockpit!$H$27</f>
        <v>0</v>
      </c>
      <c r="BA16" s="3">
        <f>BA14*Cockpit!$H$27</f>
        <v>0</v>
      </c>
      <c r="BB16" s="3">
        <f>BB14*Cockpit!$H$27</f>
        <v>0</v>
      </c>
      <c r="BC16" s="3">
        <f>BC14*Cockpit!$H$27</f>
        <v>0</v>
      </c>
      <c r="BD16" s="3">
        <f>BD14*Cockpit!$H$27</f>
        <v>0</v>
      </c>
      <c r="BE16" s="3">
        <f>BE14*Cockpit!$H$27</f>
        <v>0</v>
      </c>
      <c r="BF16" s="3">
        <f>BF14*Cockpit!$H$27</f>
        <v>0</v>
      </c>
      <c r="BG16" s="3">
        <f>BG14*Cockpit!$H$27</f>
        <v>0</v>
      </c>
      <c r="BH16" s="3">
        <f>BH14*Cockpit!$H$27</f>
        <v>0</v>
      </c>
      <c r="BI16" s="3">
        <f>BI14*Cockpit!$H$27</f>
        <v>0</v>
      </c>
      <c r="BJ16" s="3">
        <f>BJ14*Cockpit!$H$27</f>
        <v>0</v>
      </c>
      <c r="BK16" s="3">
        <f>BK14*Cockpit!$H$27</f>
        <v>0</v>
      </c>
      <c r="BL16" s="3">
        <f>BL14*Cockpit!$H$27</f>
        <v>0</v>
      </c>
      <c r="BM16" s="3">
        <f>BM14*Cockpit!$H$27</f>
        <v>0</v>
      </c>
      <c r="BN16" s="3">
        <f>BN14*Cockpit!$H$27</f>
        <v>0</v>
      </c>
      <c r="BO16" s="3">
        <f>BO14*Cockpit!$H$27</f>
        <v>0</v>
      </c>
      <c r="BP16" s="3">
        <f>BP14*Cockpit!$H$27</f>
        <v>0</v>
      </c>
      <c r="BQ16" s="3">
        <f>BQ14*Cockpit!$H$27</f>
        <v>0</v>
      </c>
      <c r="BR16" s="3">
        <f>BR14*Cockpit!$H$27</f>
        <v>0</v>
      </c>
      <c r="BS16" s="3">
        <f>BS14*Cockpit!$H$27</f>
        <v>0</v>
      </c>
      <c r="BT16" s="3">
        <f>BT14*Cockpit!$H$27</f>
        <v>0</v>
      </c>
      <c r="BU16" s="3">
        <f>BU14*Cockpit!$H$27</f>
        <v>0</v>
      </c>
      <c r="BV16" s="3">
        <f>BV14*Cockpit!$H$27</f>
        <v>0</v>
      </c>
      <c r="BW16" s="3">
        <f>BW14*Cockpit!$H$27</f>
        <v>0</v>
      </c>
      <c r="BX16" s="3">
        <f>BX14*Cockpit!$H$27</f>
        <v>0</v>
      </c>
      <c r="BY16" s="3">
        <f>BY14*Cockpit!$H$27</f>
        <v>0</v>
      </c>
      <c r="BZ16" s="3">
        <f>BZ14*Cockpit!$H$27</f>
        <v>0</v>
      </c>
      <c r="CA16" s="3">
        <f>CA14*Cockpit!$H$27</f>
        <v>0</v>
      </c>
      <c r="CB16" s="3">
        <f>CB14*Cockpit!$H$27</f>
        <v>0</v>
      </c>
      <c r="CC16" s="3">
        <f>CC14*Cockpit!$H$27</f>
        <v>0</v>
      </c>
      <c r="CD16" s="3">
        <f>CD14*Cockpit!$H$27</f>
        <v>0</v>
      </c>
      <c r="CE16" s="3">
        <f>CE14*Cockpit!$H$27</f>
        <v>0</v>
      </c>
      <c r="CF16" s="3">
        <f>CF14*Cockpit!$H$27</f>
        <v>0</v>
      </c>
      <c r="CG16" s="3">
        <f>CG14*Cockpit!$H$27</f>
        <v>0</v>
      </c>
      <c r="CH16" s="226">
        <f>CH14*Cockpit!$H$27</f>
        <v>0</v>
      </c>
    </row>
    <row r="17" spans="1:86" ht="16" thickBot="1">
      <c r="A17"/>
      <c r="B17" s="495" t="s">
        <v>228</v>
      </c>
      <c r="C17" s="496"/>
      <c r="D17" s="227">
        <f>D14+D16</f>
        <v>0</v>
      </c>
      <c r="E17" s="227">
        <f t="shared" ref="E17:BA17" si="71">E14+E16</f>
        <v>0</v>
      </c>
      <c r="F17" s="227">
        <f t="shared" si="71"/>
        <v>0</v>
      </c>
      <c r="G17" s="227">
        <f t="shared" si="71"/>
        <v>0</v>
      </c>
      <c r="H17" s="227">
        <f t="shared" si="71"/>
        <v>0</v>
      </c>
      <c r="I17" s="227">
        <f t="shared" si="71"/>
        <v>0</v>
      </c>
      <c r="J17" s="227">
        <f t="shared" si="71"/>
        <v>0</v>
      </c>
      <c r="K17" s="227">
        <f t="shared" si="71"/>
        <v>0</v>
      </c>
      <c r="L17" s="227">
        <f t="shared" si="71"/>
        <v>0</v>
      </c>
      <c r="M17" s="227">
        <f t="shared" si="71"/>
        <v>0</v>
      </c>
      <c r="N17" s="227">
        <f t="shared" si="71"/>
        <v>0</v>
      </c>
      <c r="O17" s="227">
        <f t="shared" si="71"/>
        <v>0</v>
      </c>
      <c r="P17" s="227">
        <f t="shared" si="71"/>
        <v>0</v>
      </c>
      <c r="Q17" s="227">
        <f t="shared" si="71"/>
        <v>0</v>
      </c>
      <c r="R17" s="227">
        <f t="shared" si="71"/>
        <v>0</v>
      </c>
      <c r="S17" s="227">
        <f t="shared" si="71"/>
        <v>0</v>
      </c>
      <c r="T17" s="227">
        <f t="shared" si="71"/>
        <v>0</v>
      </c>
      <c r="U17" s="227">
        <f t="shared" si="71"/>
        <v>0</v>
      </c>
      <c r="V17" s="227">
        <f t="shared" si="71"/>
        <v>0</v>
      </c>
      <c r="W17" s="227">
        <f t="shared" si="71"/>
        <v>0</v>
      </c>
      <c r="X17" s="227">
        <f t="shared" si="71"/>
        <v>0</v>
      </c>
      <c r="Y17" s="227">
        <f t="shared" si="71"/>
        <v>0</v>
      </c>
      <c r="Z17" s="227">
        <f t="shared" si="71"/>
        <v>0</v>
      </c>
      <c r="AA17" s="227">
        <f t="shared" si="71"/>
        <v>0</v>
      </c>
      <c r="AB17" s="227">
        <f t="shared" si="71"/>
        <v>0</v>
      </c>
      <c r="AC17" s="227">
        <f t="shared" si="71"/>
        <v>0</v>
      </c>
      <c r="AD17" s="227">
        <f t="shared" si="71"/>
        <v>0</v>
      </c>
      <c r="AE17" s="227">
        <f t="shared" si="71"/>
        <v>0</v>
      </c>
      <c r="AF17" s="227">
        <f t="shared" si="71"/>
        <v>0</v>
      </c>
      <c r="AG17" s="227">
        <f t="shared" si="71"/>
        <v>0</v>
      </c>
      <c r="AH17" s="227">
        <f t="shared" si="71"/>
        <v>0</v>
      </c>
      <c r="AI17" s="227">
        <f t="shared" si="71"/>
        <v>0</v>
      </c>
      <c r="AJ17" s="227">
        <f t="shared" si="71"/>
        <v>0</v>
      </c>
      <c r="AK17" s="227">
        <f t="shared" si="71"/>
        <v>0</v>
      </c>
      <c r="AL17" s="227">
        <f t="shared" si="71"/>
        <v>0</v>
      </c>
      <c r="AM17" s="227">
        <f t="shared" si="71"/>
        <v>0</v>
      </c>
      <c r="AN17" s="227">
        <f t="shared" si="71"/>
        <v>0</v>
      </c>
      <c r="AO17" s="227">
        <f t="shared" si="71"/>
        <v>0</v>
      </c>
      <c r="AP17" s="227">
        <f t="shared" si="71"/>
        <v>0</v>
      </c>
      <c r="AQ17" s="227">
        <f t="shared" si="71"/>
        <v>0</v>
      </c>
      <c r="AR17" s="227">
        <f t="shared" si="71"/>
        <v>0</v>
      </c>
      <c r="AS17" s="227">
        <f t="shared" si="71"/>
        <v>0</v>
      </c>
      <c r="AT17" s="227">
        <f t="shared" si="71"/>
        <v>0</v>
      </c>
      <c r="AU17" s="227">
        <f t="shared" si="71"/>
        <v>0</v>
      </c>
      <c r="AV17" s="227">
        <f t="shared" si="71"/>
        <v>0</v>
      </c>
      <c r="AW17" s="227">
        <f t="shared" si="71"/>
        <v>0</v>
      </c>
      <c r="AX17" s="227">
        <f t="shared" si="71"/>
        <v>0</v>
      </c>
      <c r="AY17" s="227">
        <f t="shared" si="71"/>
        <v>0</v>
      </c>
      <c r="AZ17" s="227">
        <f t="shared" si="71"/>
        <v>0</v>
      </c>
      <c r="BA17" s="227">
        <f t="shared" si="71"/>
        <v>0</v>
      </c>
      <c r="BB17" s="227">
        <f t="shared" ref="BB17:CB17" si="72">BB14+BB16</f>
        <v>0</v>
      </c>
      <c r="BC17" s="227">
        <f t="shared" si="72"/>
        <v>0</v>
      </c>
      <c r="BD17" s="227">
        <f t="shared" si="72"/>
        <v>0</v>
      </c>
      <c r="BE17" s="227">
        <f t="shared" si="72"/>
        <v>0</v>
      </c>
      <c r="BF17" s="227">
        <f t="shared" si="72"/>
        <v>0</v>
      </c>
      <c r="BG17" s="227">
        <f t="shared" si="72"/>
        <v>0</v>
      </c>
      <c r="BH17" s="227">
        <f t="shared" si="72"/>
        <v>0</v>
      </c>
      <c r="BI17" s="227">
        <f t="shared" si="72"/>
        <v>0</v>
      </c>
      <c r="BJ17" s="227">
        <f t="shared" si="72"/>
        <v>0</v>
      </c>
      <c r="BK17" s="227">
        <f t="shared" si="72"/>
        <v>0</v>
      </c>
      <c r="BL17" s="227">
        <f t="shared" si="72"/>
        <v>0</v>
      </c>
      <c r="BM17" s="227">
        <f t="shared" si="72"/>
        <v>0</v>
      </c>
      <c r="BN17" s="227">
        <f t="shared" si="72"/>
        <v>0</v>
      </c>
      <c r="BO17" s="227">
        <f t="shared" si="72"/>
        <v>0</v>
      </c>
      <c r="BP17" s="227">
        <f t="shared" si="72"/>
        <v>0</v>
      </c>
      <c r="BQ17" s="227">
        <f t="shared" si="72"/>
        <v>0</v>
      </c>
      <c r="BR17" s="227">
        <f t="shared" si="72"/>
        <v>0</v>
      </c>
      <c r="BS17" s="227">
        <f t="shared" si="72"/>
        <v>0</v>
      </c>
      <c r="BT17" s="227">
        <f t="shared" si="72"/>
        <v>0</v>
      </c>
      <c r="BU17" s="227">
        <f t="shared" si="72"/>
        <v>0</v>
      </c>
      <c r="BV17" s="227">
        <f t="shared" si="72"/>
        <v>0</v>
      </c>
      <c r="BW17" s="227">
        <f t="shared" si="72"/>
        <v>0</v>
      </c>
      <c r="BX17" s="227">
        <f t="shared" si="72"/>
        <v>0</v>
      </c>
      <c r="BY17" s="227">
        <f t="shared" si="72"/>
        <v>0</v>
      </c>
      <c r="BZ17" s="227">
        <f t="shared" si="72"/>
        <v>0</v>
      </c>
      <c r="CA17" s="227">
        <f t="shared" si="72"/>
        <v>0</v>
      </c>
      <c r="CB17" s="227">
        <f t="shared" si="72"/>
        <v>0</v>
      </c>
      <c r="CC17" s="227">
        <f t="shared" ref="CC17:CH17" si="73">CC14+CC16</f>
        <v>0</v>
      </c>
      <c r="CD17" s="227">
        <f t="shared" si="73"/>
        <v>0</v>
      </c>
      <c r="CE17" s="227">
        <f t="shared" si="73"/>
        <v>0</v>
      </c>
      <c r="CF17" s="227">
        <f t="shared" si="73"/>
        <v>0</v>
      </c>
      <c r="CG17" s="227">
        <f t="shared" si="73"/>
        <v>0</v>
      </c>
      <c r="CH17" s="228">
        <f t="shared" si="73"/>
        <v>0</v>
      </c>
    </row>
    <row r="18" spans="1:86" ht="39" customHeight="1" thickBot="1">
      <c r="D18" s="28"/>
    </row>
    <row r="19" spans="1:86" ht="17" thickBot="1">
      <c r="B19" s="211" t="s">
        <v>271</v>
      </c>
      <c r="D19" s="28"/>
    </row>
    <row r="20" spans="1:86" ht="16" thickBot="1">
      <c r="B20" s="214" t="s">
        <v>47</v>
      </c>
      <c r="C20" s="215"/>
      <c r="D20" s="216">
        <f ca="1">'Kennzahlen im Verlauf'!D7</f>
        <v>2024</v>
      </c>
      <c r="E20" s="217">
        <f ca="1">'Kennzahlen im Verlauf'!E7</f>
        <v>2025</v>
      </c>
      <c r="F20" s="217">
        <f ca="1">'Kennzahlen im Verlauf'!F7</f>
        <v>2026</v>
      </c>
      <c r="G20" s="217">
        <f ca="1">'Kennzahlen im Verlauf'!G7</f>
        <v>2027</v>
      </c>
      <c r="H20" s="217">
        <f ca="1">'Kennzahlen im Verlauf'!H7</f>
        <v>2028</v>
      </c>
      <c r="I20" s="217">
        <f ca="1">'Kennzahlen im Verlauf'!I7</f>
        <v>2029</v>
      </c>
      <c r="J20" s="217">
        <f ca="1">'Kennzahlen im Verlauf'!J7</f>
        <v>2030</v>
      </c>
      <c r="K20" s="217">
        <f ca="1">'Kennzahlen im Verlauf'!K7</f>
        <v>2031</v>
      </c>
      <c r="L20" s="217">
        <f ca="1">'Kennzahlen im Verlauf'!L7</f>
        <v>2032</v>
      </c>
      <c r="M20" s="217">
        <f ca="1">'Kennzahlen im Verlauf'!M7</f>
        <v>2033</v>
      </c>
      <c r="N20" s="217">
        <f ca="1">'Kennzahlen im Verlauf'!N7</f>
        <v>2034</v>
      </c>
      <c r="O20" s="217">
        <f ca="1">'Kennzahlen im Verlauf'!O7</f>
        <v>2035</v>
      </c>
      <c r="P20" s="217">
        <f ca="1">'Kennzahlen im Verlauf'!P7</f>
        <v>2036</v>
      </c>
      <c r="Q20" s="217">
        <f ca="1">'Kennzahlen im Verlauf'!Q7</f>
        <v>2037</v>
      </c>
      <c r="R20" s="217">
        <f ca="1">'Kennzahlen im Verlauf'!R7</f>
        <v>2038</v>
      </c>
      <c r="S20" s="217">
        <f ca="1">'Kennzahlen im Verlauf'!S7</f>
        <v>2039</v>
      </c>
      <c r="T20" s="217">
        <f ca="1">'Kennzahlen im Verlauf'!T7</f>
        <v>2040</v>
      </c>
      <c r="U20" s="217">
        <f ca="1">'Kennzahlen im Verlauf'!U7</f>
        <v>2041</v>
      </c>
      <c r="V20" s="217">
        <f ca="1">'Kennzahlen im Verlauf'!V7</f>
        <v>2042</v>
      </c>
      <c r="W20" s="217">
        <f ca="1">'Kennzahlen im Verlauf'!W7</f>
        <v>2043</v>
      </c>
      <c r="X20" s="217">
        <f ca="1">'Kennzahlen im Verlauf'!X7</f>
        <v>2044</v>
      </c>
      <c r="Y20" s="217">
        <f ca="1">'Kennzahlen im Verlauf'!Y7</f>
        <v>2045</v>
      </c>
      <c r="Z20" s="217">
        <f ca="1">'Kennzahlen im Verlauf'!Z7</f>
        <v>2046</v>
      </c>
      <c r="AA20" s="217">
        <f ca="1">'Kennzahlen im Verlauf'!AA7</f>
        <v>2047</v>
      </c>
      <c r="AB20" s="217">
        <f ca="1">'Kennzahlen im Verlauf'!AB7</f>
        <v>2048</v>
      </c>
      <c r="AC20" s="217">
        <f ca="1">'Kennzahlen im Verlauf'!AC7</f>
        <v>2049</v>
      </c>
      <c r="AD20" s="217">
        <f ca="1">'Kennzahlen im Verlauf'!AD7</f>
        <v>2050</v>
      </c>
      <c r="AE20" s="217">
        <f ca="1">'Kennzahlen im Verlauf'!AE7</f>
        <v>2051</v>
      </c>
      <c r="AF20" s="217">
        <f ca="1">'Kennzahlen im Verlauf'!AF7</f>
        <v>2052</v>
      </c>
      <c r="AG20" s="217">
        <f ca="1">'Kennzahlen im Verlauf'!AG7</f>
        <v>2053</v>
      </c>
      <c r="AH20" s="217">
        <f ca="1">'Kennzahlen im Verlauf'!AH7</f>
        <v>2054</v>
      </c>
      <c r="AI20" s="217">
        <f ca="1">'Kennzahlen im Verlauf'!AI7</f>
        <v>2055</v>
      </c>
      <c r="AJ20" s="217">
        <f ca="1">'Kennzahlen im Verlauf'!AJ7</f>
        <v>2056</v>
      </c>
      <c r="AK20" s="217">
        <f ca="1">'Kennzahlen im Verlauf'!AK7</f>
        <v>2057</v>
      </c>
      <c r="AL20" s="217">
        <f ca="1">'Kennzahlen im Verlauf'!AL7</f>
        <v>2058</v>
      </c>
      <c r="AM20" s="217">
        <f ca="1">'Kennzahlen im Verlauf'!AM7</f>
        <v>2059</v>
      </c>
      <c r="AN20" s="217">
        <f ca="1">'Kennzahlen im Verlauf'!AN7</f>
        <v>2060</v>
      </c>
      <c r="AO20" s="217">
        <f ca="1">'Kennzahlen im Verlauf'!AO7</f>
        <v>2061</v>
      </c>
      <c r="AP20" s="217">
        <f ca="1">'Kennzahlen im Verlauf'!AP7</f>
        <v>2062</v>
      </c>
      <c r="AQ20" s="217">
        <f ca="1">'Kennzahlen im Verlauf'!AQ7</f>
        <v>2063</v>
      </c>
      <c r="AR20" s="217">
        <f ca="1">'Kennzahlen im Verlauf'!AR7</f>
        <v>2064</v>
      </c>
      <c r="AS20" s="217">
        <f ca="1">'Kennzahlen im Verlauf'!AS7</f>
        <v>2065</v>
      </c>
      <c r="AT20" s="217">
        <f ca="1">'Kennzahlen im Verlauf'!AT7</f>
        <v>2066</v>
      </c>
      <c r="AU20" s="217">
        <f ca="1">'Kennzahlen im Verlauf'!AU7</f>
        <v>2067</v>
      </c>
      <c r="AV20" s="217">
        <f ca="1">'Kennzahlen im Verlauf'!AV7</f>
        <v>2068</v>
      </c>
      <c r="AW20" s="217">
        <f ca="1">'Kennzahlen im Verlauf'!AW7</f>
        <v>2069</v>
      </c>
      <c r="AX20" s="217">
        <f ca="1">'Kennzahlen im Verlauf'!AX7</f>
        <v>2070</v>
      </c>
      <c r="AY20" s="217">
        <f ca="1">'Kennzahlen im Verlauf'!AY7</f>
        <v>2071</v>
      </c>
      <c r="AZ20" s="217">
        <f ca="1">'Kennzahlen im Verlauf'!AZ7</f>
        <v>2072</v>
      </c>
      <c r="BA20" s="217">
        <f ca="1">'Kennzahlen im Verlauf'!BA7</f>
        <v>2073</v>
      </c>
      <c r="BB20" s="217">
        <f ca="1">'Kennzahlen im Verlauf'!BB7</f>
        <v>2074</v>
      </c>
      <c r="BC20" s="217">
        <f ca="1">'Kennzahlen im Verlauf'!BC7</f>
        <v>2075</v>
      </c>
      <c r="BD20" s="217">
        <f ca="1">'Kennzahlen im Verlauf'!BD7</f>
        <v>2076</v>
      </c>
      <c r="BE20" s="217">
        <f ca="1">'Kennzahlen im Verlauf'!BE7</f>
        <v>2077</v>
      </c>
      <c r="BF20" s="217">
        <f ca="1">'Kennzahlen im Verlauf'!BF7</f>
        <v>2078</v>
      </c>
      <c r="BG20" s="217">
        <f ca="1">'Kennzahlen im Verlauf'!BG7</f>
        <v>2079</v>
      </c>
      <c r="BH20" s="217">
        <f ca="1">'Kennzahlen im Verlauf'!BH7</f>
        <v>2080</v>
      </c>
      <c r="BI20" s="217">
        <f ca="1">'Kennzahlen im Verlauf'!BI7</f>
        <v>2081</v>
      </c>
      <c r="BJ20" s="217">
        <f ca="1">'Kennzahlen im Verlauf'!BJ7</f>
        <v>2082</v>
      </c>
      <c r="BK20" s="217">
        <f ca="1">'Kennzahlen im Verlauf'!BK7</f>
        <v>2083</v>
      </c>
      <c r="BL20" s="217">
        <f ca="1">'Kennzahlen im Verlauf'!BL7</f>
        <v>2084</v>
      </c>
      <c r="BM20" s="217">
        <f ca="1">'Kennzahlen im Verlauf'!BM7</f>
        <v>2085</v>
      </c>
      <c r="BN20" s="217">
        <f ca="1">'Kennzahlen im Verlauf'!BN7</f>
        <v>2086</v>
      </c>
      <c r="BO20" s="217">
        <f ca="1">'Kennzahlen im Verlauf'!BO7</f>
        <v>2087</v>
      </c>
      <c r="BP20" s="217">
        <f ca="1">'Kennzahlen im Verlauf'!BP7</f>
        <v>2088</v>
      </c>
      <c r="BQ20" s="217">
        <f ca="1">'Kennzahlen im Verlauf'!BQ7</f>
        <v>2089</v>
      </c>
      <c r="BR20" s="217">
        <f ca="1">'Kennzahlen im Verlauf'!BR7</f>
        <v>2090</v>
      </c>
      <c r="BS20" s="217">
        <f ca="1">'Kennzahlen im Verlauf'!BS7</f>
        <v>2091</v>
      </c>
      <c r="BT20" s="217">
        <f ca="1">'Kennzahlen im Verlauf'!BT7</f>
        <v>2092</v>
      </c>
      <c r="BU20" s="217">
        <f ca="1">'Kennzahlen im Verlauf'!BU7</f>
        <v>2093</v>
      </c>
      <c r="BV20" s="217">
        <f ca="1">'Kennzahlen im Verlauf'!BV7</f>
        <v>2094</v>
      </c>
      <c r="BW20" s="217">
        <f ca="1">'Kennzahlen im Verlauf'!BW7</f>
        <v>2095</v>
      </c>
      <c r="BX20" s="217">
        <f ca="1">'Kennzahlen im Verlauf'!BX7</f>
        <v>2096</v>
      </c>
      <c r="BY20" s="217">
        <f ca="1">'Kennzahlen im Verlauf'!BY7</f>
        <v>2097</v>
      </c>
      <c r="BZ20" s="217">
        <f ca="1">'Kennzahlen im Verlauf'!BZ7</f>
        <v>2098</v>
      </c>
      <c r="CA20" s="217">
        <f ca="1">'Kennzahlen im Verlauf'!CA7</f>
        <v>2099</v>
      </c>
      <c r="CB20" s="217">
        <f ca="1">'Kennzahlen im Verlauf'!CB7</f>
        <v>2100</v>
      </c>
      <c r="CC20" s="217">
        <f ca="1">'Kennzahlen im Verlauf'!CC7</f>
        <v>2101</v>
      </c>
      <c r="CD20" s="217">
        <f ca="1">'Kennzahlen im Verlauf'!CD7</f>
        <v>2102</v>
      </c>
      <c r="CE20" s="217">
        <f ca="1">'Kennzahlen im Verlauf'!CE7</f>
        <v>2103</v>
      </c>
      <c r="CF20" s="217">
        <f ca="1">'Kennzahlen im Verlauf'!CF7</f>
        <v>2104</v>
      </c>
      <c r="CG20" s="217">
        <f ca="1">'Kennzahlen im Verlauf'!CG7</f>
        <v>2105</v>
      </c>
      <c r="CH20" s="218">
        <f ca="1">'Kennzahlen im Verlauf'!CH7</f>
        <v>2106</v>
      </c>
    </row>
    <row r="21" spans="1:86">
      <c r="B21" s="487" t="s">
        <v>75</v>
      </c>
      <c r="C21" s="488"/>
      <c r="D21" s="219">
        <f>Cockpit!H17</f>
        <v>0</v>
      </c>
      <c r="E21" s="219">
        <f>D21</f>
        <v>0</v>
      </c>
      <c r="F21" s="219">
        <f t="shared" ref="F21:BA21" si="74">E21</f>
        <v>0</v>
      </c>
      <c r="G21" s="219">
        <f t="shared" si="74"/>
        <v>0</v>
      </c>
      <c r="H21" s="219">
        <f t="shared" si="74"/>
        <v>0</v>
      </c>
      <c r="I21" s="219">
        <f t="shared" si="74"/>
        <v>0</v>
      </c>
      <c r="J21" s="219">
        <f t="shared" si="74"/>
        <v>0</v>
      </c>
      <c r="K21" s="219">
        <f t="shared" si="74"/>
        <v>0</v>
      </c>
      <c r="L21" s="219">
        <f t="shared" si="74"/>
        <v>0</v>
      </c>
      <c r="M21" s="219">
        <f t="shared" si="74"/>
        <v>0</v>
      </c>
      <c r="N21" s="219">
        <f t="shared" si="74"/>
        <v>0</v>
      </c>
      <c r="O21" s="219">
        <f t="shared" si="74"/>
        <v>0</v>
      </c>
      <c r="P21" s="219">
        <f t="shared" si="74"/>
        <v>0</v>
      </c>
      <c r="Q21" s="219">
        <f t="shared" si="74"/>
        <v>0</v>
      </c>
      <c r="R21" s="219">
        <f t="shared" si="74"/>
        <v>0</v>
      </c>
      <c r="S21" s="219">
        <f t="shared" si="74"/>
        <v>0</v>
      </c>
      <c r="T21" s="219">
        <f t="shared" si="74"/>
        <v>0</v>
      </c>
      <c r="U21" s="219">
        <f t="shared" si="74"/>
        <v>0</v>
      </c>
      <c r="V21" s="219">
        <f t="shared" si="74"/>
        <v>0</v>
      </c>
      <c r="W21" s="219">
        <f t="shared" si="74"/>
        <v>0</v>
      </c>
      <c r="X21" s="219">
        <f t="shared" si="74"/>
        <v>0</v>
      </c>
      <c r="Y21" s="219">
        <f t="shared" si="74"/>
        <v>0</v>
      </c>
      <c r="Z21" s="219">
        <f t="shared" si="74"/>
        <v>0</v>
      </c>
      <c r="AA21" s="219">
        <f t="shared" si="74"/>
        <v>0</v>
      </c>
      <c r="AB21" s="219">
        <f t="shared" si="74"/>
        <v>0</v>
      </c>
      <c r="AC21" s="219">
        <f t="shared" si="74"/>
        <v>0</v>
      </c>
      <c r="AD21" s="219">
        <f t="shared" si="74"/>
        <v>0</v>
      </c>
      <c r="AE21" s="219">
        <f t="shared" si="74"/>
        <v>0</v>
      </c>
      <c r="AF21" s="219">
        <f t="shared" si="74"/>
        <v>0</v>
      </c>
      <c r="AG21" s="219">
        <f t="shared" si="74"/>
        <v>0</v>
      </c>
      <c r="AH21" s="219">
        <f t="shared" si="74"/>
        <v>0</v>
      </c>
      <c r="AI21" s="219">
        <f t="shared" si="74"/>
        <v>0</v>
      </c>
      <c r="AJ21" s="219">
        <f t="shared" si="74"/>
        <v>0</v>
      </c>
      <c r="AK21" s="219">
        <f t="shared" si="74"/>
        <v>0</v>
      </c>
      <c r="AL21" s="219">
        <f t="shared" si="74"/>
        <v>0</v>
      </c>
      <c r="AM21" s="219">
        <f t="shared" si="74"/>
        <v>0</v>
      </c>
      <c r="AN21" s="219">
        <f t="shared" si="74"/>
        <v>0</v>
      </c>
      <c r="AO21" s="219">
        <f t="shared" si="74"/>
        <v>0</v>
      </c>
      <c r="AP21" s="219">
        <f t="shared" si="74"/>
        <v>0</v>
      </c>
      <c r="AQ21" s="219">
        <f t="shared" si="74"/>
        <v>0</v>
      </c>
      <c r="AR21" s="219">
        <f t="shared" si="74"/>
        <v>0</v>
      </c>
      <c r="AS21" s="219">
        <f t="shared" si="74"/>
        <v>0</v>
      </c>
      <c r="AT21" s="219">
        <f t="shared" si="74"/>
        <v>0</v>
      </c>
      <c r="AU21" s="219">
        <f t="shared" si="74"/>
        <v>0</v>
      </c>
      <c r="AV21" s="219">
        <f t="shared" si="74"/>
        <v>0</v>
      </c>
      <c r="AW21" s="219">
        <f t="shared" si="74"/>
        <v>0</v>
      </c>
      <c r="AX21" s="219">
        <f t="shared" si="74"/>
        <v>0</v>
      </c>
      <c r="AY21" s="219">
        <f t="shared" si="74"/>
        <v>0</v>
      </c>
      <c r="AZ21" s="219">
        <f t="shared" si="74"/>
        <v>0</v>
      </c>
      <c r="BA21" s="219">
        <f t="shared" si="74"/>
        <v>0</v>
      </c>
      <c r="BB21" s="219">
        <f t="shared" ref="BB21:BB22" si="75">BA21</f>
        <v>0</v>
      </c>
      <c r="BC21" s="219">
        <f t="shared" ref="BC21:BC22" si="76">BB21</f>
        <v>0</v>
      </c>
      <c r="BD21" s="219">
        <f t="shared" ref="BD21:BD22" si="77">BC21</f>
        <v>0</v>
      </c>
      <c r="BE21" s="219">
        <f t="shared" ref="BE21:BE22" si="78">BD21</f>
        <v>0</v>
      </c>
      <c r="BF21" s="219">
        <f t="shared" ref="BF21:BF22" si="79">BE21</f>
        <v>0</v>
      </c>
      <c r="BG21" s="219">
        <f t="shared" ref="BG21:BG22" si="80">BF21</f>
        <v>0</v>
      </c>
      <c r="BH21" s="219">
        <f t="shared" ref="BH21:BH22" si="81">BG21</f>
        <v>0</v>
      </c>
      <c r="BI21" s="219">
        <f t="shared" ref="BI21:BI22" si="82">BH21</f>
        <v>0</v>
      </c>
      <c r="BJ21" s="219">
        <f t="shared" ref="BJ21:BJ22" si="83">BI21</f>
        <v>0</v>
      </c>
      <c r="BK21" s="219">
        <f t="shared" ref="BK21:BK22" si="84">BJ21</f>
        <v>0</v>
      </c>
      <c r="BL21" s="219">
        <f t="shared" ref="BL21:BL22" si="85">BK21</f>
        <v>0</v>
      </c>
      <c r="BM21" s="219">
        <f t="shared" ref="BM21:BM22" si="86">BL21</f>
        <v>0</v>
      </c>
      <c r="BN21" s="219">
        <f t="shared" ref="BN21:BN22" si="87">BM21</f>
        <v>0</v>
      </c>
      <c r="BO21" s="219">
        <f t="shared" ref="BO21:BO22" si="88">BN21</f>
        <v>0</v>
      </c>
      <c r="BP21" s="219">
        <f t="shared" ref="BP21:BP22" si="89">BO21</f>
        <v>0</v>
      </c>
      <c r="BQ21" s="219">
        <f t="shared" ref="BQ21:BQ22" si="90">BP21</f>
        <v>0</v>
      </c>
      <c r="BR21" s="219">
        <f t="shared" ref="BR21:BR22" si="91">BQ21</f>
        <v>0</v>
      </c>
      <c r="BS21" s="219">
        <f t="shared" ref="BS21:BS22" si="92">BR21</f>
        <v>0</v>
      </c>
      <c r="BT21" s="219">
        <f t="shared" ref="BT21:BT22" si="93">BS21</f>
        <v>0</v>
      </c>
      <c r="BU21" s="219">
        <f t="shared" ref="BU21:BU22" si="94">BT21</f>
        <v>0</v>
      </c>
      <c r="BV21" s="219">
        <f t="shared" ref="BV21:BV22" si="95">BU21</f>
        <v>0</v>
      </c>
      <c r="BW21" s="219">
        <f t="shared" ref="BW21:BW22" si="96">BV21</f>
        <v>0</v>
      </c>
      <c r="BX21" s="219">
        <f t="shared" ref="BX21:BX22" si="97">BW21</f>
        <v>0</v>
      </c>
      <c r="BY21" s="219">
        <f t="shared" ref="BY21:BY22" si="98">BX21</f>
        <v>0</v>
      </c>
      <c r="BZ21" s="219">
        <f t="shared" ref="BZ21:BZ22" si="99">BY21</f>
        <v>0</v>
      </c>
      <c r="CA21" s="219">
        <f t="shared" ref="CA21:CA22" si="100">BZ21</f>
        <v>0</v>
      </c>
      <c r="CB21" s="219">
        <f t="shared" ref="CB21:CB22" si="101">CA21</f>
        <v>0</v>
      </c>
      <c r="CC21" s="219">
        <f t="shared" ref="CC21:CC22" si="102">CB21</f>
        <v>0</v>
      </c>
      <c r="CD21" s="219">
        <f t="shared" ref="CD21:CD22" si="103">CC21</f>
        <v>0</v>
      </c>
      <c r="CE21" s="219">
        <f t="shared" ref="CE21:CE22" si="104">CD21</f>
        <v>0</v>
      </c>
      <c r="CF21" s="219">
        <f t="shared" ref="CF21:CF22" si="105">CE21</f>
        <v>0</v>
      </c>
      <c r="CG21" s="219">
        <f t="shared" ref="CG21:CG22" si="106">CF21</f>
        <v>0</v>
      </c>
      <c r="CH21" s="220">
        <f t="shared" ref="CH21:CH22" si="107">CG21</f>
        <v>0</v>
      </c>
    </row>
    <row r="22" spans="1:86">
      <c r="B22" s="500" t="s">
        <v>225</v>
      </c>
      <c r="C22" s="501"/>
      <c r="D22" s="29">
        <f>Cockpit!H15</f>
        <v>0.02</v>
      </c>
      <c r="E22" s="29">
        <f t="shared" ref="E22:AJ22" si="108">D22</f>
        <v>0.02</v>
      </c>
      <c r="F22" s="29">
        <f t="shared" si="108"/>
        <v>0.02</v>
      </c>
      <c r="G22" s="29">
        <f t="shared" si="108"/>
        <v>0.02</v>
      </c>
      <c r="H22" s="29">
        <f t="shared" si="108"/>
        <v>0.02</v>
      </c>
      <c r="I22" s="29">
        <f t="shared" si="108"/>
        <v>0.02</v>
      </c>
      <c r="J22" s="29">
        <f t="shared" si="108"/>
        <v>0.02</v>
      </c>
      <c r="K22" s="29">
        <f t="shared" si="108"/>
        <v>0.02</v>
      </c>
      <c r="L22" s="29">
        <f t="shared" si="108"/>
        <v>0.02</v>
      </c>
      <c r="M22" s="29">
        <f t="shared" si="108"/>
        <v>0.02</v>
      </c>
      <c r="N22" s="29">
        <f t="shared" si="108"/>
        <v>0.02</v>
      </c>
      <c r="O22" s="29">
        <f t="shared" si="108"/>
        <v>0.02</v>
      </c>
      <c r="P22" s="29">
        <f t="shared" si="108"/>
        <v>0.02</v>
      </c>
      <c r="Q22" s="29">
        <f t="shared" si="108"/>
        <v>0.02</v>
      </c>
      <c r="R22" s="29">
        <f t="shared" si="108"/>
        <v>0.02</v>
      </c>
      <c r="S22" s="29">
        <f t="shared" si="108"/>
        <v>0.02</v>
      </c>
      <c r="T22" s="29">
        <f t="shared" si="108"/>
        <v>0.02</v>
      </c>
      <c r="U22" s="29">
        <f t="shared" si="108"/>
        <v>0.02</v>
      </c>
      <c r="V22" s="29">
        <f t="shared" si="108"/>
        <v>0.02</v>
      </c>
      <c r="W22" s="29">
        <f t="shared" si="108"/>
        <v>0.02</v>
      </c>
      <c r="X22" s="29">
        <f t="shared" si="108"/>
        <v>0.02</v>
      </c>
      <c r="Y22" s="29">
        <f t="shared" si="108"/>
        <v>0.02</v>
      </c>
      <c r="Z22" s="29">
        <f t="shared" si="108"/>
        <v>0.02</v>
      </c>
      <c r="AA22" s="29">
        <f t="shared" si="108"/>
        <v>0.02</v>
      </c>
      <c r="AB22" s="29">
        <f t="shared" si="108"/>
        <v>0.02</v>
      </c>
      <c r="AC22" s="29">
        <f t="shared" si="108"/>
        <v>0.02</v>
      </c>
      <c r="AD22" s="29">
        <f t="shared" si="108"/>
        <v>0.02</v>
      </c>
      <c r="AE22" s="29">
        <f t="shared" si="108"/>
        <v>0.02</v>
      </c>
      <c r="AF22" s="29">
        <f t="shared" si="108"/>
        <v>0.02</v>
      </c>
      <c r="AG22" s="29">
        <f t="shared" si="108"/>
        <v>0.02</v>
      </c>
      <c r="AH22" s="29">
        <f t="shared" si="108"/>
        <v>0.02</v>
      </c>
      <c r="AI22" s="29">
        <f t="shared" si="108"/>
        <v>0.02</v>
      </c>
      <c r="AJ22" s="29">
        <f t="shared" si="108"/>
        <v>0.02</v>
      </c>
      <c r="AK22" s="29">
        <f t="shared" ref="AK22:BA22" si="109">AJ22</f>
        <v>0.02</v>
      </c>
      <c r="AL22" s="29">
        <f t="shared" si="109"/>
        <v>0.02</v>
      </c>
      <c r="AM22" s="29">
        <f t="shared" si="109"/>
        <v>0.02</v>
      </c>
      <c r="AN22" s="29">
        <f t="shared" si="109"/>
        <v>0.02</v>
      </c>
      <c r="AO22" s="29">
        <f t="shared" si="109"/>
        <v>0.02</v>
      </c>
      <c r="AP22" s="29">
        <f t="shared" si="109"/>
        <v>0.02</v>
      </c>
      <c r="AQ22" s="29">
        <f t="shared" si="109"/>
        <v>0.02</v>
      </c>
      <c r="AR22" s="29">
        <f t="shared" si="109"/>
        <v>0.02</v>
      </c>
      <c r="AS22" s="29">
        <f t="shared" si="109"/>
        <v>0.02</v>
      </c>
      <c r="AT22" s="29">
        <f t="shared" si="109"/>
        <v>0.02</v>
      </c>
      <c r="AU22" s="29">
        <f t="shared" si="109"/>
        <v>0.02</v>
      </c>
      <c r="AV22" s="29">
        <f t="shared" si="109"/>
        <v>0.02</v>
      </c>
      <c r="AW22" s="29">
        <f t="shared" si="109"/>
        <v>0.02</v>
      </c>
      <c r="AX22" s="29">
        <f t="shared" si="109"/>
        <v>0.02</v>
      </c>
      <c r="AY22" s="29">
        <f t="shared" si="109"/>
        <v>0.02</v>
      </c>
      <c r="AZ22" s="29">
        <f t="shared" si="109"/>
        <v>0.02</v>
      </c>
      <c r="BA22" s="29">
        <f t="shared" si="109"/>
        <v>0.02</v>
      </c>
      <c r="BB22" s="29">
        <f t="shared" si="75"/>
        <v>0.02</v>
      </c>
      <c r="BC22" s="29">
        <f t="shared" si="76"/>
        <v>0.02</v>
      </c>
      <c r="BD22" s="29">
        <f t="shared" si="77"/>
        <v>0.02</v>
      </c>
      <c r="BE22" s="29">
        <f t="shared" si="78"/>
        <v>0.02</v>
      </c>
      <c r="BF22" s="29">
        <f t="shared" si="79"/>
        <v>0.02</v>
      </c>
      <c r="BG22" s="29">
        <f t="shared" si="80"/>
        <v>0.02</v>
      </c>
      <c r="BH22" s="29">
        <f t="shared" si="81"/>
        <v>0.02</v>
      </c>
      <c r="BI22" s="29">
        <f t="shared" si="82"/>
        <v>0.02</v>
      </c>
      <c r="BJ22" s="29">
        <f t="shared" si="83"/>
        <v>0.02</v>
      </c>
      <c r="BK22" s="29">
        <f t="shared" si="84"/>
        <v>0.02</v>
      </c>
      <c r="BL22" s="29">
        <f t="shared" si="85"/>
        <v>0.02</v>
      </c>
      <c r="BM22" s="29">
        <f t="shared" si="86"/>
        <v>0.02</v>
      </c>
      <c r="BN22" s="29">
        <f t="shared" si="87"/>
        <v>0.02</v>
      </c>
      <c r="BO22" s="29">
        <f t="shared" si="88"/>
        <v>0.02</v>
      </c>
      <c r="BP22" s="29">
        <f t="shared" si="89"/>
        <v>0.02</v>
      </c>
      <c r="BQ22" s="29">
        <f t="shared" si="90"/>
        <v>0.02</v>
      </c>
      <c r="BR22" s="29">
        <f t="shared" si="91"/>
        <v>0.02</v>
      </c>
      <c r="BS22" s="29">
        <f t="shared" si="92"/>
        <v>0.02</v>
      </c>
      <c r="BT22" s="29">
        <f t="shared" si="93"/>
        <v>0.02</v>
      </c>
      <c r="BU22" s="29">
        <f t="shared" si="94"/>
        <v>0.02</v>
      </c>
      <c r="BV22" s="29">
        <f t="shared" si="95"/>
        <v>0.02</v>
      </c>
      <c r="BW22" s="29">
        <f t="shared" si="96"/>
        <v>0.02</v>
      </c>
      <c r="BX22" s="29">
        <f t="shared" si="97"/>
        <v>0.02</v>
      </c>
      <c r="BY22" s="29">
        <f t="shared" si="98"/>
        <v>0.02</v>
      </c>
      <c r="BZ22" s="29">
        <f t="shared" si="99"/>
        <v>0.02</v>
      </c>
      <c r="CA22" s="29">
        <f t="shared" si="100"/>
        <v>0.02</v>
      </c>
      <c r="CB22" s="29">
        <f t="shared" si="101"/>
        <v>0.02</v>
      </c>
      <c r="CC22" s="29">
        <f t="shared" si="102"/>
        <v>0.02</v>
      </c>
      <c r="CD22" s="29">
        <f t="shared" si="103"/>
        <v>0.02</v>
      </c>
      <c r="CE22" s="29">
        <f t="shared" si="104"/>
        <v>0.02</v>
      </c>
      <c r="CF22" s="29">
        <f t="shared" si="105"/>
        <v>0.02</v>
      </c>
      <c r="CG22" s="29">
        <f t="shared" si="106"/>
        <v>0.02</v>
      </c>
      <c r="CH22" s="229">
        <f t="shared" si="107"/>
        <v>0.02</v>
      </c>
    </row>
    <row r="23" spans="1:86">
      <c r="B23" s="500" t="s">
        <v>226</v>
      </c>
      <c r="C23" s="501"/>
      <c r="D23" s="27">
        <f>D22*D21</f>
        <v>0</v>
      </c>
      <c r="E23" s="27">
        <f t="shared" ref="E23:AJ23" si="110">MIN(E22*E21,E21-D25)</f>
        <v>0</v>
      </c>
      <c r="F23" s="27">
        <f t="shared" si="110"/>
        <v>0</v>
      </c>
      <c r="G23" s="27">
        <f t="shared" si="110"/>
        <v>0</v>
      </c>
      <c r="H23" s="27">
        <f t="shared" si="110"/>
        <v>0</v>
      </c>
      <c r="I23" s="27">
        <f t="shared" si="110"/>
        <v>0</v>
      </c>
      <c r="J23" s="27">
        <f t="shared" si="110"/>
        <v>0</v>
      </c>
      <c r="K23" s="27">
        <f t="shared" si="110"/>
        <v>0</v>
      </c>
      <c r="L23" s="27">
        <f t="shared" si="110"/>
        <v>0</v>
      </c>
      <c r="M23" s="27">
        <f t="shared" si="110"/>
        <v>0</v>
      </c>
      <c r="N23" s="27">
        <f t="shared" si="110"/>
        <v>0</v>
      </c>
      <c r="O23" s="27">
        <f t="shared" si="110"/>
        <v>0</v>
      </c>
      <c r="P23" s="27">
        <f t="shared" si="110"/>
        <v>0</v>
      </c>
      <c r="Q23" s="27">
        <f t="shared" si="110"/>
        <v>0</v>
      </c>
      <c r="R23" s="27">
        <f t="shared" si="110"/>
        <v>0</v>
      </c>
      <c r="S23" s="27">
        <f t="shared" si="110"/>
        <v>0</v>
      </c>
      <c r="T23" s="27">
        <f t="shared" si="110"/>
        <v>0</v>
      </c>
      <c r="U23" s="27">
        <f t="shared" si="110"/>
        <v>0</v>
      </c>
      <c r="V23" s="27">
        <f t="shared" si="110"/>
        <v>0</v>
      </c>
      <c r="W23" s="27">
        <f t="shared" si="110"/>
        <v>0</v>
      </c>
      <c r="X23" s="27">
        <f t="shared" si="110"/>
        <v>0</v>
      </c>
      <c r="Y23" s="27">
        <f t="shared" si="110"/>
        <v>0</v>
      </c>
      <c r="Z23" s="27">
        <f t="shared" si="110"/>
        <v>0</v>
      </c>
      <c r="AA23" s="27">
        <f t="shared" si="110"/>
        <v>0</v>
      </c>
      <c r="AB23" s="27">
        <f t="shared" si="110"/>
        <v>0</v>
      </c>
      <c r="AC23" s="27">
        <f t="shared" si="110"/>
        <v>0</v>
      </c>
      <c r="AD23" s="27">
        <f t="shared" si="110"/>
        <v>0</v>
      </c>
      <c r="AE23" s="27">
        <f t="shared" si="110"/>
        <v>0</v>
      </c>
      <c r="AF23" s="27">
        <f t="shared" si="110"/>
        <v>0</v>
      </c>
      <c r="AG23" s="27">
        <f t="shared" si="110"/>
        <v>0</v>
      </c>
      <c r="AH23" s="27">
        <f t="shared" si="110"/>
        <v>0</v>
      </c>
      <c r="AI23" s="27">
        <f t="shared" si="110"/>
        <v>0</v>
      </c>
      <c r="AJ23" s="27">
        <f t="shared" si="110"/>
        <v>0</v>
      </c>
      <c r="AK23" s="27">
        <f t="shared" ref="AK23:BA23" si="111">MIN(AK22*AK21,AK21-AJ25)</f>
        <v>0</v>
      </c>
      <c r="AL23" s="27">
        <f t="shared" si="111"/>
        <v>0</v>
      </c>
      <c r="AM23" s="27">
        <f t="shared" si="111"/>
        <v>0</v>
      </c>
      <c r="AN23" s="27">
        <f t="shared" si="111"/>
        <v>0</v>
      </c>
      <c r="AO23" s="27">
        <f t="shared" si="111"/>
        <v>0</v>
      </c>
      <c r="AP23" s="27">
        <f t="shared" si="111"/>
        <v>0</v>
      </c>
      <c r="AQ23" s="27">
        <f t="shared" si="111"/>
        <v>0</v>
      </c>
      <c r="AR23" s="27">
        <f t="shared" si="111"/>
        <v>0</v>
      </c>
      <c r="AS23" s="27">
        <f t="shared" si="111"/>
        <v>0</v>
      </c>
      <c r="AT23" s="27">
        <f t="shared" si="111"/>
        <v>0</v>
      </c>
      <c r="AU23" s="27">
        <f t="shared" si="111"/>
        <v>0</v>
      </c>
      <c r="AV23" s="27">
        <f t="shared" si="111"/>
        <v>0</v>
      </c>
      <c r="AW23" s="27">
        <f t="shared" si="111"/>
        <v>0</v>
      </c>
      <c r="AX23" s="27">
        <f t="shared" si="111"/>
        <v>0</v>
      </c>
      <c r="AY23" s="27">
        <f t="shared" si="111"/>
        <v>0</v>
      </c>
      <c r="AZ23" s="27">
        <f t="shared" si="111"/>
        <v>0</v>
      </c>
      <c r="BA23" s="27">
        <f t="shared" si="111"/>
        <v>0</v>
      </c>
      <c r="BB23" s="27">
        <f t="shared" ref="BB23" si="112">MIN(BB22*BB21,BB21-BA25)</f>
        <v>0</v>
      </c>
      <c r="BC23" s="27">
        <f t="shared" ref="BC23" si="113">MIN(BC22*BC21,BC21-BB25)</f>
        <v>0</v>
      </c>
      <c r="BD23" s="27">
        <f t="shared" ref="BD23" si="114">MIN(BD22*BD21,BD21-BC25)</f>
        <v>0</v>
      </c>
      <c r="BE23" s="27">
        <f t="shared" ref="BE23" si="115">MIN(BE22*BE21,BE21-BD25)</f>
        <v>0</v>
      </c>
      <c r="BF23" s="27">
        <f t="shared" ref="BF23" si="116">MIN(BF22*BF21,BF21-BE25)</f>
        <v>0</v>
      </c>
      <c r="BG23" s="27">
        <f t="shared" ref="BG23" si="117">MIN(BG22*BG21,BG21-BF25)</f>
        <v>0</v>
      </c>
      <c r="BH23" s="27">
        <f t="shared" ref="BH23" si="118">MIN(BH22*BH21,BH21-BG25)</f>
        <v>0</v>
      </c>
      <c r="BI23" s="27">
        <f t="shared" ref="BI23" si="119">MIN(BI22*BI21,BI21-BH25)</f>
        <v>0</v>
      </c>
      <c r="BJ23" s="27">
        <f t="shared" ref="BJ23" si="120">MIN(BJ22*BJ21,BJ21-BI25)</f>
        <v>0</v>
      </c>
      <c r="BK23" s="27">
        <f t="shared" ref="BK23" si="121">MIN(BK22*BK21,BK21-BJ25)</f>
        <v>0</v>
      </c>
      <c r="BL23" s="27">
        <f t="shared" ref="BL23" si="122">MIN(BL22*BL21,BL21-BK25)</f>
        <v>0</v>
      </c>
      <c r="BM23" s="27">
        <f t="shared" ref="BM23" si="123">MIN(BM22*BM21,BM21-BL25)</f>
        <v>0</v>
      </c>
      <c r="BN23" s="27">
        <f t="shared" ref="BN23" si="124">MIN(BN22*BN21,BN21-BM25)</f>
        <v>0</v>
      </c>
      <c r="BO23" s="27">
        <f t="shared" ref="BO23" si="125">MIN(BO22*BO21,BO21-BN25)</f>
        <v>0</v>
      </c>
      <c r="BP23" s="27">
        <f t="shared" ref="BP23" si="126">MIN(BP22*BP21,BP21-BO25)</f>
        <v>0</v>
      </c>
      <c r="BQ23" s="27">
        <f t="shared" ref="BQ23" si="127">MIN(BQ22*BQ21,BQ21-BP25)</f>
        <v>0</v>
      </c>
      <c r="BR23" s="27">
        <f t="shared" ref="BR23" si="128">MIN(BR22*BR21,BR21-BQ25)</f>
        <v>0</v>
      </c>
      <c r="BS23" s="27">
        <f t="shared" ref="BS23" si="129">MIN(BS22*BS21,BS21-BR25)</f>
        <v>0</v>
      </c>
      <c r="BT23" s="27">
        <f t="shared" ref="BT23" si="130">MIN(BT22*BT21,BT21-BS25)</f>
        <v>0</v>
      </c>
      <c r="BU23" s="27">
        <f t="shared" ref="BU23" si="131">MIN(BU22*BU21,BU21-BT25)</f>
        <v>0</v>
      </c>
      <c r="BV23" s="27">
        <f t="shared" ref="BV23" si="132">MIN(BV22*BV21,BV21-BU25)</f>
        <v>0</v>
      </c>
      <c r="BW23" s="27">
        <f t="shared" ref="BW23" si="133">MIN(BW22*BW21,BW21-BV25)</f>
        <v>0</v>
      </c>
      <c r="BX23" s="27">
        <f t="shared" ref="BX23" si="134">MIN(BX22*BX21,BX21-BW25)</f>
        <v>0</v>
      </c>
      <c r="BY23" s="27">
        <f t="shared" ref="BY23" si="135">MIN(BY22*BY21,BY21-BX25)</f>
        <v>0</v>
      </c>
      <c r="BZ23" s="27">
        <f t="shared" ref="BZ23" si="136">MIN(BZ22*BZ21,BZ21-BY25)</f>
        <v>0</v>
      </c>
      <c r="CA23" s="27">
        <f t="shared" ref="CA23" si="137">MIN(CA22*CA21,CA21-BZ25)</f>
        <v>0</v>
      </c>
      <c r="CB23" s="27">
        <f t="shared" ref="CB23" si="138">MIN(CB22*CB21,CB21-CA25)</f>
        <v>0</v>
      </c>
      <c r="CC23" s="27">
        <f t="shared" ref="CC23" si="139">MIN(CC22*CC21,CC21-CB25)</f>
        <v>0</v>
      </c>
      <c r="CD23" s="27">
        <f t="shared" ref="CD23" si="140">MIN(CD22*CD21,CD21-CC25)</f>
        <v>0</v>
      </c>
      <c r="CE23" s="27">
        <f t="shared" ref="CE23" si="141">MIN(CE22*CE21,CE21-CD25)</f>
        <v>0</v>
      </c>
      <c r="CF23" s="27">
        <f t="shared" ref="CF23" si="142">MIN(CF22*CF21,CF21-CE25)</f>
        <v>0</v>
      </c>
      <c r="CG23" s="27">
        <f t="shared" ref="CG23" si="143">MIN(CG22*CG21,CG21-CF25)</f>
        <v>0</v>
      </c>
      <c r="CH23" s="221">
        <f t="shared" ref="CH23" si="144">MIN(CH22*CH21,CH21-CG25)</f>
        <v>0</v>
      </c>
    </row>
    <row r="24" spans="1:86">
      <c r="B24" s="493" t="s">
        <v>227</v>
      </c>
      <c r="C24" s="494"/>
      <c r="D24" s="30">
        <f>D23/12</f>
        <v>0</v>
      </c>
      <c r="E24" s="27">
        <f>E23/12</f>
        <v>0</v>
      </c>
      <c r="F24" s="27">
        <f t="shared" ref="F24:BA24" si="145">F23/12</f>
        <v>0</v>
      </c>
      <c r="G24" s="27">
        <f t="shared" si="145"/>
        <v>0</v>
      </c>
      <c r="H24" s="27">
        <f t="shared" si="145"/>
        <v>0</v>
      </c>
      <c r="I24" s="27">
        <f t="shared" si="145"/>
        <v>0</v>
      </c>
      <c r="J24" s="27">
        <f t="shared" si="145"/>
        <v>0</v>
      </c>
      <c r="K24" s="27">
        <f t="shared" si="145"/>
        <v>0</v>
      </c>
      <c r="L24" s="27">
        <f t="shared" si="145"/>
        <v>0</v>
      </c>
      <c r="M24" s="27">
        <f t="shared" si="145"/>
        <v>0</v>
      </c>
      <c r="N24" s="27">
        <f t="shared" si="145"/>
        <v>0</v>
      </c>
      <c r="O24" s="27">
        <f t="shared" si="145"/>
        <v>0</v>
      </c>
      <c r="P24" s="27">
        <f t="shared" si="145"/>
        <v>0</v>
      </c>
      <c r="Q24" s="27">
        <f t="shared" si="145"/>
        <v>0</v>
      </c>
      <c r="R24" s="27">
        <f t="shared" si="145"/>
        <v>0</v>
      </c>
      <c r="S24" s="27">
        <f t="shared" si="145"/>
        <v>0</v>
      </c>
      <c r="T24" s="27">
        <f t="shared" si="145"/>
        <v>0</v>
      </c>
      <c r="U24" s="27">
        <f t="shared" si="145"/>
        <v>0</v>
      </c>
      <c r="V24" s="27">
        <f t="shared" si="145"/>
        <v>0</v>
      </c>
      <c r="W24" s="27">
        <f t="shared" si="145"/>
        <v>0</v>
      </c>
      <c r="X24" s="27">
        <f t="shared" si="145"/>
        <v>0</v>
      </c>
      <c r="Y24" s="27">
        <f t="shared" si="145"/>
        <v>0</v>
      </c>
      <c r="Z24" s="27">
        <f t="shared" si="145"/>
        <v>0</v>
      </c>
      <c r="AA24" s="27">
        <f t="shared" si="145"/>
        <v>0</v>
      </c>
      <c r="AB24" s="27">
        <f t="shared" si="145"/>
        <v>0</v>
      </c>
      <c r="AC24" s="27">
        <f t="shared" si="145"/>
        <v>0</v>
      </c>
      <c r="AD24" s="27">
        <f t="shared" si="145"/>
        <v>0</v>
      </c>
      <c r="AE24" s="27">
        <f t="shared" si="145"/>
        <v>0</v>
      </c>
      <c r="AF24" s="27">
        <f t="shared" si="145"/>
        <v>0</v>
      </c>
      <c r="AG24" s="27">
        <f t="shared" si="145"/>
        <v>0</v>
      </c>
      <c r="AH24" s="27">
        <f t="shared" si="145"/>
        <v>0</v>
      </c>
      <c r="AI24" s="27">
        <f t="shared" si="145"/>
        <v>0</v>
      </c>
      <c r="AJ24" s="27">
        <f t="shared" si="145"/>
        <v>0</v>
      </c>
      <c r="AK24" s="27">
        <f t="shared" si="145"/>
        <v>0</v>
      </c>
      <c r="AL24" s="27">
        <f t="shared" si="145"/>
        <v>0</v>
      </c>
      <c r="AM24" s="27">
        <f t="shared" si="145"/>
        <v>0</v>
      </c>
      <c r="AN24" s="27">
        <f t="shared" si="145"/>
        <v>0</v>
      </c>
      <c r="AO24" s="27">
        <f t="shared" si="145"/>
        <v>0</v>
      </c>
      <c r="AP24" s="27">
        <f t="shared" si="145"/>
        <v>0</v>
      </c>
      <c r="AQ24" s="27">
        <f t="shared" si="145"/>
        <v>0</v>
      </c>
      <c r="AR24" s="27">
        <f t="shared" si="145"/>
        <v>0</v>
      </c>
      <c r="AS24" s="27">
        <f t="shared" si="145"/>
        <v>0</v>
      </c>
      <c r="AT24" s="27">
        <f t="shared" si="145"/>
        <v>0</v>
      </c>
      <c r="AU24" s="27">
        <f t="shared" si="145"/>
        <v>0</v>
      </c>
      <c r="AV24" s="27">
        <f t="shared" si="145"/>
        <v>0</v>
      </c>
      <c r="AW24" s="27">
        <f t="shared" si="145"/>
        <v>0</v>
      </c>
      <c r="AX24" s="27">
        <f t="shared" si="145"/>
        <v>0</v>
      </c>
      <c r="AY24" s="27">
        <f t="shared" si="145"/>
        <v>0</v>
      </c>
      <c r="AZ24" s="27">
        <f t="shared" si="145"/>
        <v>0</v>
      </c>
      <c r="BA24" s="27">
        <f t="shared" si="145"/>
        <v>0</v>
      </c>
      <c r="BB24" s="27">
        <f t="shared" ref="BB24:CH24" si="146">BB23/12</f>
        <v>0</v>
      </c>
      <c r="BC24" s="27">
        <f t="shared" si="146"/>
        <v>0</v>
      </c>
      <c r="BD24" s="27">
        <f t="shared" si="146"/>
        <v>0</v>
      </c>
      <c r="BE24" s="27">
        <f t="shared" si="146"/>
        <v>0</v>
      </c>
      <c r="BF24" s="27">
        <f t="shared" si="146"/>
        <v>0</v>
      </c>
      <c r="BG24" s="27">
        <f t="shared" si="146"/>
        <v>0</v>
      </c>
      <c r="BH24" s="27">
        <f t="shared" si="146"/>
        <v>0</v>
      </c>
      <c r="BI24" s="27">
        <f t="shared" si="146"/>
        <v>0</v>
      </c>
      <c r="BJ24" s="27">
        <f t="shared" si="146"/>
        <v>0</v>
      </c>
      <c r="BK24" s="27">
        <f t="shared" si="146"/>
        <v>0</v>
      </c>
      <c r="BL24" s="27">
        <f t="shared" si="146"/>
        <v>0</v>
      </c>
      <c r="BM24" s="27">
        <f t="shared" si="146"/>
        <v>0</v>
      </c>
      <c r="BN24" s="27">
        <f t="shared" si="146"/>
        <v>0</v>
      </c>
      <c r="BO24" s="27">
        <f t="shared" si="146"/>
        <v>0</v>
      </c>
      <c r="BP24" s="27">
        <f t="shared" si="146"/>
        <v>0</v>
      </c>
      <c r="BQ24" s="27">
        <f t="shared" si="146"/>
        <v>0</v>
      </c>
      <c r="BR24" s="27">
        <f t="shared" si="146"/>
        <v>0</v>
      </c>
      <c r="BS24" s="27">
        <f t="shared" si="146"/>
        <v>0</v>
      </c>
      <c r="BT24" s="27">
        <f t="shared" si="146"/>
        <v>0</v>
      </c>
      <c r="BU24" s="27">
        <f t="shared" si="146"/>
        <v>0</v>
      </c>
      <c r="BV24" s="27">
        <f t="shared" si="146"/>
        <v>0</v>
      </c>
      <c r="BW24" s="27">
        <f t="shared" si="146"/>
        <v>0</v>
      </c>
      <c r="BX24" s="27">
        <f t="shared" si="146"/>
        <v>0</v>
      </c>
      <c r="BY24" s="27">
        <f t="shared" si="146"/>
        <v>0</v>
      </c>
      <c r="BZ24" s="27">
        <f t="shared" si="146"/>
        <v>0</v>
      </c>
      <c r="CA24" s="27">
        <f t="shared" si="146"/>
        <v>0</v>
      </c>
      <c r="CB24" s="27">
        <f t="shared" si="146"/>
        <v>0</v>
      </c>
      <c r="CC24" s="27">
        <f t="shared" si="146"/>
        <v>0</v>
      </c>
      <c r="CD24" s="27">
        <f t="shared" si="146"/>
        <v>0</v>
      </c>
      <c r="CE24" s="27">
        <f t="shared" si="146"/>
        <v>0</v>
      </c>
      <c r="CF24" s="27">
        <f t="shared" si="146"/>
        <v>0</v>
      </c>
      <c r="CG24" s="27">
        <f t="shared" si="146"/>
        <v>0</v>
      </c>
      <c r="CH24" s="221">
        <f t="shared" si="146"/>
        <v>0</v>
      </c>
    </row>
    <row r="25" spans="1:86" ht="16" thickBot="1">
      <c r="B25" s="498" t="s">
        <v>224</v>
      </c>
      <c r="C25" s="499"/>
      <c r="D25" s="222">
        <f>D23</f>
        <v>0</v>
      </c>
      <c r="E25" s="222">
        <f t="shared" ref="E25:AJ25" si="147">D25+E23</f>
        <v>0</v>
      </c>
      <c r="F25" s="222">
        <f t="shared" si="147"/>
        <v>0</v>
      </c>
      <c r="G25" s="222">
        <f t="shared" si="147"/>
        <v>0</v>
      </c>
      <c r="H25" s="222">
        <f t="shared" si="147"/>
        <v>0</v>
      </c>
      <c r="I25" s="222">
        <f t="shared" si="147"/>
        <v>0</v>
      </c>
      <c r="J25" s="222">
        <f t="shared" si="147"/>
        <v>0</v>
      </c>
      <c r="K25" s="222">
        <f t="shared" si="147"/>
        <v>0</v>
      </c>
      <c r="L25" s="222">
        <f t="shared" si="147"/>
        <v>0</v>
      </c>
      <c r="M25" s="222">
        <f t="shared" si="147"/>
        <v>0</v>
      </c>
      <c r="N25" s="222">
        <f t="shared" si="147"/>
        <v>0</v>
      </c>
      <c r="O25" s="222">
        <f t="shared" si="147"/>
        <v>0</v>
      </c>
      <c r="P25" s="222">
        <f t="shared" si="147"/>
        <v>0</v>
      </c>
      <c r="Q25" s="222">
        <f t="shared" si="147"/>
        <v>0</v>
      </c>
      <c r="R25" s="222">
        <f t="shared" si="147"/>
        <v>0</v>
      </c>
      <c r="S25" s="222">
        <f t="shared" si="147"/>
        <v>0</v>
      </c>
      <c r="T25" s="222">
        <f t="shared" si="147"/>
        <v>0</v>
      </c>
      <c r="U25" s="222">
        <f t="shared" si="147"/>
        <v>0</v>
      </c>
      <c r="V25" s="222">
        <f t="shared" si="147"/>
        <v>0</v>
      </c>
      <c r="W25" s="222">
        <f t="shared" si="147"/>
        <v>0</v>
      </c>
      <c r="X25" s="222">
        <f t="shared" si="147"/>
        <v>0</v>
      </c>
      <c r="Y25" s="222">
        <f t="shared" si="147"/>
        <v>0</v>
      </c>
      <c r="Z25" s="222">
        <f t="shared" si="147"/>
        <v>0</v>
      </c>
      <c r="AA25" s="222">
        <f t="shared" si="147"/>
        <v>0</v>
      </c>
      <c r="AB25" s="222">
        <f t="shared" si="147"/>
        <v>0</v>
      </c>
      <c r="AC25" s="222">
        <f t="shared" si="147"/>
        <v>0</v>
      </c>
      <c r="AD25" s="222">
        <f t="shared" si="147"/>
        <v>0</v>
      </c>
      <c r="AE25" s="222">
        <f t="shared" si="147"/>
        <v>0</v>
      </c>
      <c r="AF25" s="222">
        <f t="shared" si="147"/>
        <v>0</v>
      </c>
      <c r="AG25" s="222">
        <f t="shared" si="147"/>
        <v>0</v>
      </c>
      <c r="AH25" s="222">
        <f t="shared" si="147"/>
        <v>0</v>
      </c>
      <c r="AI25" s="222">
        <f t="shared" si="147"/>
        <v>0</v>
      </c>
      <c r="AJ25" s="222">
        <f t="shared" si="147"/>
        <v>0</v>
      </c>
      <c r="AK25" s="222">
        <f t="shared" ref="AK25:BA25" si="148">AJ25+AK23</f>
        <v>0</v>
      </c>
      <c r="AL25" s="222">
        <f t="shared" si="148"/>
        <v>0</v>
      </c>
      <c r="AM25" s="222">
        <f t="shared" si="148"/>
        <v>0</v>
      </c>
      <c r="AN25" s="222">
        <f t="shared" si="148"/>
        <v>0</v>
      </c>
      <c r="AO25" s="222">
        <f t="shared" si="148"/>
        <v>0</v>
      </c>
      <c r="AP25" s="222">
        <f t="shared" si="148"/>
        <v>0</v>
      </c>
      <c r="AQ25" s="222">
        <f t="shared" si="148"/>
        <v>0</v>
      </c>
      <c r="AR25" s="222">
        <f t="shared" si="148"/>
        <v>0</v>
      </c>
      <c r="AS25" s="222">
        <f t="shared" si="148"/>
        <v>0</v>
      </c>
      <c r="AT25" s="222">
        <f t="shared" si="148"/>
        <v>0</v>
      </c>
      <c r="AU25" s="222">
        <f t="shared" si="148"/>
        <v>0</v>
      </c>
      <c r="AV25" s="222">
        <f t="shared" si="148"/>
        <v>0</v>
      </c>
      <c r="AW25" s="222">
        <f t="shared" si="148"/>
        <v>0</v>
      </c>
      <c r="AX25" s="222">
        <f t="shared" si="148"/>
        <v>0</v>
      </c>
      <c r="AY25" s="222">
        <f t="shared" si="148"/>
        <v>0</v>
      </c>
      <c r="AZ25" s="222">
        <f t="shared" si="148"/>
        <v>0</v>
      </c>
      <c r="BA25" s="222">
        <f t="shared" si="148"/>
        <v>0</v>
      </c>
      <c r="BB25" s="222">
        <f t="shared" ref="BB25" si="149">BA25+BB23</f>
        <v>0</v>
      </c>
      <c r="BC25" s="222">
        <f t="shared" ref="BC25" si="150">BB25+BC23</f>
        <v>0</v>
      </c>
      <c r="BD25" s="222">
        <f t="shared" ref="BD25" si="151">BC25+BD23</f>
        <v>0</v>
      </c>
      <c r="BE25" s="222">
        <f t="shared" ref="BE25" si="152">BD25+BE23</f>
        <v>0</v>
      </c>
      <c r="BF25" s="222">
        <f t="shared" ref="BF25" si="153">BE25+BF23</f>
        <v>0</v>
      </c>
      <c r="BG25" s="222">
        <f t="shared" ref="BG25" si="154">BF25+BG23</f>
        <v>0</v>
      </c>
      <c r="BH25" s="222">
        <f t="shared" ref="BH25" si="155">BG25+BH23</f>
        <v>0</v>
      </c>
      <c r="BI25" s="222">
        <f t="shared" ref="BI25" si="156">BH25+BI23</f>
        <v>0</v>
      </c>
      <c r="BJ25" s="222">
        <f t="shared" ref="BJ25" si="157">BI25+BJ23</f>
        <v>0</v>
      </c>
      <c r="BK25" s="222">
        <f t="shared" ref="BK25" si="158">BJ25+BK23</f>
        <v>0</v>
      </c>
      <c r="BL25" s="222">
        <f t="shared" ref="BL25" si="159">BK25+BL23</f>
        <v>0</v>
      </c>
      <c r="BM25" s="222">
        <f t="shared" ref="BM25" si="160">BL25+BM23</f>
        <v>0</v>
      </c>
      <c r="BN25" s="222">
        <f t="shared" ref="BN25" si="161">BM25+BN23</f>
        <v>0</v>
      </c>
      <c r="BO25" s="222">
        <f t="shared" ref="BO25" si="162">BN25+BO23</f>
        <v>0</v>
      </c>
      <c r="BP25" s="222">
        <f t="shared" ref="BP25" si="163">BO25+BP23</f>
        <v>0</v>
      </c>
      <c r="BQ25" s="222">
        <f t="shared" ref="BQ25" si="164">BP25+BQ23</f>
        <v>0</v>
      </c>
      <c r="BR25" s="222">
        <f t="shared" ref="BR25" si="165">BQ25+BR23</f>
        <v>0</v>
      </c>
      <c r="BS25" s="222">
        <f t="shared" ref="BS25" si="166">BR25+BS23</f>
        <v>0</v>
      </c>
      <c r="BT25" s="222">
        <f t="shared" ref="BT25" si="167">BS25+BT23</f>
        <v>0</v>
      </c>
      <c r="BU25" s="222">
        <f t="shared" ref="BU25" si="168">BT25+BU23</f>
        <v>0</v>
      </c>
      <c r="BV25" s="222">
        <f t="shared" ref="BV25" si="169">BU25+BV23</f>
        <v>0</v>
      </c>
      <c r="BW25" s="222">
        <f t="shared" ref="BW25" si="170">BV25+BW23</f>
        <v>0</v>
      </c>
      <c r="BX25" s="222">
        <f t="shared" ref="BX25" si="171">BW25+BX23</f>
        <v>0</v>
      </c>
      <c r="BY25" s="222">
        <f t="shared" ref="BY25" si="172">BX25+BY23</f>
        <v>0</v>
      </c>
      <c r="BZ25" s="222">
        <f t="shared" ref="BZ25" si="173">BY25+BZ23</f>
        <v>0</v>
      </c>
      <c r="CA25" s="222">
        <f t="shared" ref="CA25" si="174">BZ25+CA23</f>
        <v>0</v>
      </c>
      <c r="CB25" s="222">
        <f t="shared" ref="CB25" si="175">CA25+CB23</f>
        <v>0</v>
      </c>
      <c r="CC25" s="222">
        <f t="shared" ref="CC25" si="176">CB25+CC23</f>
        <v>0</v>
      </c>
      <c r="CD25" s="222">
        <f t="shared" ref="CD25" si="177">CC25+CD23</f>
        <v>0</v>
      </c>
      <c r="CE25" s="222">
        <f t="shared" ref="CE25" si="178">CD25+CE23</f>
        <v>0</v>
      </c>
      <c r="CF25" s="222">
        <f t="shared" ref="CF25" si="179">CE25+CF23</f>
        <v>0</v>
      </c>
      <c r="CG25" s="222">
        <f t="shared" ref="CG25" si="180">CF25+CG23</f>
        <v>0</v>
      </c>
      <c r="CH25" s="223">
        <f t="shared" ref="CH25" si="181">CG25+CH23</f>
        <v>0</v>
      </c>
    </row>
    <row r="26" spans="1:86" ht="42.75" customHeight="1" thickBot="1">
      <c r="I26" s="5"/>
      <c r="J26" s="5"/>
      <c r="K26" s="5"/>
      <c r="L26" s="5"/>
      <c r="M26" s="4"/>
      <c r="N26" s="4"/>
      <c r="O26" s="4"/>
      <c r="P26" s="4"/>
    </row>
    <row r="27" spans="1:86" ht="17" thickBot="1">
      <c r="B27" s="211" t="s">
        <v>22</v>
      </c>
      <c r="C27" s="25"/>
      <c r="I27" s="5"/>
      <c r="J27" s="5"/>
      <c r="K27" s="5"/>
      <c r="L27" s="5"/>
    </row>
    <row r="28" spans="1:86" ht="16" thickBot="1">
      <c r="B28" s="214" t="s">
        <v>47</v>
      </c>
      <c r="C28" s="215"/>
      <c r="D28" s="216">
        <f ca="1">D$13</f>
        <v>2024</v>
      </c>
      <c r="E28" s="217">
        <f t="shared" ref="E28:BP28" ca="1" si="182">E$13</f>
        <v>2025</v>
      </c>
      <c r="F28" s="217">
        <f t="shared" ca="1" si="182"/>
        <v>2026</v>
      </c>
      <c r="G28" s="217">
        <f t="shared" ca="1" si="182"/>
        <v>2027</v>
      </c>
      <c r="H28" s="217">
        <f t="shared" ca="1" si="182"/>
        <v>2028</v>
      </c>
      <c r="I28" s="217">
        <f t="shared" ca="1" si="182"/>
        <v>2029</v>
      </c>
      <c r="J28" s="217">
        <f t="shared" ca="1" si="182"/>
        <v>2030</v>
      </c>
      <c r="K28" s="217">
        <f t="shared" ca="1" si="182"/>
        <v>2031</v>
      </c>
      <c r="L28" s="217">
        <f t="shared" ca="1" si="182"/>
        <v>2032</v>
      </c>
      <c r="M28" s="217">
        <f t="shared" ca="1" si="182"/>
        <v>2033</v>
      </c>
      <c r="N28" s="217">
        <f t="shared" ca="1" si="182"/>
        <v>2034</v>
      </c>
      <c r="O28" s="217">
        <f t="shared" ca="1" si="182"/>
        <v>2035</v>
      </c>
      <c r="P28" s="217">
        <f t="shared" ca="1" si="182"/>
        <v>2036</v>
      </c>
      <c r="Q28" s="217">
        <f t="shared" ca="1" si="182"/>
        <v>2037</v>
      </c>
      <c r="R28" s="217">
        <f t="shared" ca="1" si="182"/>
        <v>2038</v>
      </c>
      <c r="S28" s="217">
        <f t="shared" ca="1" si="182"/>
        <v>2039</v>
      </c>
      <c r="T28" s="217">
        <f t="shared" ca="1" si="182"/>
        <v>2040</v>
      </c>
      <c r="U28" s="217">
        <f t="shared" ca="1" si="182"/>
        <v>2041</v>
      </c>
      <c r="V28" s="217">
        <f t="shared" ca="1" si="182"/>
        <v>2042</v>
      </c>
      <c r="W28" s="217">
        <f t="shared" ca="1" si="182"/>
        <v>2043</v>
      </c>
      <c r="X28" s="217">
        <f t="shared" ca="1" si="182"/>
        <v>2044</v>
      </c>
      <c r="Y28" s="217">
        <f t="shared" ca="1" si="182"/>
        <v>2045</v>
      </c>
      <c r="Z28" s="217">
        <f t="shared" ca="1" si="182"/>
        <v>2046</v>
      </c>
      <c r="AA28" s="217">
        <f t="shared" ca="1" si="182"/>
        <v>2047</v>
      </c>
      <c r="AB28" s="217">
        <f t="shared" ca="1" si="182"/>
        <v>2048</v>
      </c>
      <c r="AC28" s="217">
        <f t="shared" ca="1" si="182"/>
        <v>2049</v>
      </c>
      <c r="AD28" s="217">
        <f t="shared" ca="1" si="182"/>
        <v>2050</v>
      </c>
      <c r="AE28" s="217">
        <f t="shared" ca="1" si="182"/>
        <v>2051</v>
      </c>
      <c r="AF28" s="217">
        <f t="shared" ca="1" si="182"/>
        <v>2052</v>
      </c>
      <c r="AG28" s="217">
        <f t="shared" ca="1" si="182"/>
        <v>2053</v>
      </c>
      <c r="AH28" s="217">
        <f t="shared" ca="1" si="182"/>
        <v>2054</v>
      </c>
      <c r="AI28" s="217">
        <f t="shared" ca="1" si="182"/>
        <v>2055</v>
      </c>
      <c r="AJ28" s="217">
        <f t="shared" ca="1" si="182"/>
        <v>2056</v>
      </c>
      <c r="AK28" s="217">
        <f t="shared" ca="1" si="182"/>
        <v>2057</v>
      </c>
      <c r="AL28" s="217">
        <f t="shared" ca="1" si="182"/>
        <v>2058</v>
      </c>
      <c r="AM28" s="217">
        <f t="shared" ca="1" si="182"/>
        <v>2059</v>
      </c>
      <c r="AN28" s="217">
        <f t="shared" ca="1" si="182"/>
        <v>2060</v>
      </c>
      <c r="AO28" s="217">
        <f t="shared" ca="1" si="182"/>
        <v>2061</v>
      </c>
      <c r="AP28" s="217">
        <f t="shared" ca="1" si="182"/>
        <v>2062</v>
      </c>
      <c r="AQ28" s="217">
        <f t="shared" ca="1" si="182"/>
        <v>2063</v>
      </c>
      <c r="AR28" s="217">
        <f t="shared" ca="1" si="182"/>
        <v>2064</v>
      </c>
      <c r="AS28" s="217">
        <f t="shared" ca="1" si="182"/>
        <v>2065</v>
      </c>
      <c r="AT28" s="217">
        <f t="shared" ca="1" si="182"/>
        <v>2066</v>
      </c>
      <c r="AU28" s="217">
        <f t="shared" ca="1" si="182"/>
        <v>2067</v>
      </c>
      <c r="AV28" s="217">
        <f t="shared" ca="1" si="182"/>
        <v>2068</v>
      </c>
      <c r="AW28" s="217">
        <f t="shared" ca="1" si="182"/>
        <v>2069</v>
      </c>
      <c r="AX28" s="217">
        <f t="shared" ca="1" si="182"/>
        <v>2070</v>
      </c>
      <c r="AY28" s="217">
        <f t="shared" ca="1" si="182"/>
        <v>2071</v>
      </c>
      <c r="AZ28" s="217">
        <f t="shared" ca="1" si="182"/>
        <v>2072</v>
      </c>
      <c r="BA28" s="217">
        <f t="shared" ca="1" si="182"/>
        <v>2073</v>
      </c>
      <c r="BB28" s="217">
        <f t="shared" ca="1" si="182"/>
        <v>2074</v>
      </c>
      <c r="BC28" s="217">
        <f t="shared" ca="1" si="182"/>
        <v>2075</v>
      </c>
      <c r="BD28" s="217">
        <f t="shared" ca="1" si="182"/>
        <v>2076</v>
      </c>
      <c r="BE28" s="217">
        <f t="shared" ca="1" si="182"/>
        <v>2077</v>
      </c>
      <c r="BF28" s="217">
        <f t="shared" ca="1" si="182"/>
        <v>2078</v>
      </c>
      <c r="BG28" s="217">
        <f t="shared" ca="1" si="182"/>
        <v>2079</v>
      </c>
      <c r="BH28" s="217">
        <f t="shared" ca="1" si="182"/>
        <v>2080</v>
      </c>
      <c r="BI28" s="217">
        <f t="shared" ca="1" si="182"/>
        <v>2081</v>
      </c>
      <c r="BJ28" s="217">
        <f t="shared" ca="1" si="182"/>
        <v>2082</v>
      </c>
      <c r="BK28" s="217">
        <f t="shared" ca="1" si="182"/>
        <v>2083</v>
      </c>
      <c r="BL28" s="217">
        <f t="shared" ca="1" si="182"/>
        <v>2084</v>
      </c>
      <c r="BM28" s="217">
        <f t="shared" ca="1" si="182"/>
        <v>2085</v>
      </c>
      <c r="BN28" s="217">
        <f t="shared" ca="1" si="182"/>
        <v>2086</v>
      </c>
      <c r="BO28" s="217">
        <f t="shared" ca="1" si="182"/>
        <v>2087</v>
      </c>
      <c r="BP28" s="217">
        <f t="shared" ca="1" si="182"/>
        <v>2088</v>
      </c>
      <c r="BQ28" s="217">
        <f t="shared" ref="BQ28:CH28" ca="1" si="183">BQ$13</f>
        <v>2089</v>
      </c>
      <c r="BR28" s="217">
        <f t="shared" ca="1" si="183"/>
        <v>2090</v>
      </c>
      <c r="BS28" s="217">
        <f t="shared" ca="1" si="183"/>
        <v>2091</v>
      </c>
      <c r="BT28" s="217">
        <f t="shared" ca="1" si="183"/>
        <v>2092</v>
      </c>
      <c r="BU28" s="217">
        <f t="shared" ca="1" si="183"/>
        <v>2093</v>
      </c>
      <c r="BV28" s="217">
        <f t="shared" ca="1" si="183"/>
        <v>2094</v>
      </c>
      <c r="BW28" s="217">
        <f t="shared" ca="1" si="183"/>
        <v>2095</v>
      </c>
      <c r="BX28" s="217">
        <f t="shared" ca="1" si="183"/>
        <v>2096</v>
      </c>
      <c r="BY28" s="217">
        <f t="shared" ca="1" si="183"/>
        <v>2097</v>
      </c>
      <c r="BZ28" s="217">
        <f t="shared" ca="1" si="183"/>
        <v>2098</v>
      </c>
      <c r="CA28" s="217">
        <f t="shared" ca="1" si="183"/>
        <v>2099</v>
      </c>
      <c r="CB28" s="217">
        <f t="shared" ca="1" si="183"/>
        <v>2100</v>
      </c>
      <c r="CC28" s="217">
        <f t="shared" ca="1" si="183"/>
        <v>2101</v>
      </c>
      <c r="CD28" s="217">
        <f t="shared" ca="1" si="183"/>
        <v>2102</v>
      </c>
      <c r="CE28" s="217">
        <f t="shared" ca="1" si="183"/>
        <v>2103</v>
      </c>
      <c r="CF28" s="217">
        <f t="shared" ca="1" si="183"/>
        <v>2104</v>
      </c>
      <c r="CG28" s="217">
        <f t="shared" ca="1" si="183"/>
        <v>2105</v>
      </c>
      <c r="CH28" s="218">
        <f t="shared" ca="1" si="183"/>
        <v>2106</v>
      </c>
    </row>
    <row r="29" spans="1:86">
      <c r="B29" s="487" t="s">
        <v>49</v>
      </c>
      <c r="C29" s="488"/>
      <c r="D29" s="230"/>
      <c r="E29" s="240"/>
      <c r="F29" s="241"/>
      <c r="G29" s="241"/>
      <c r="H29" s="241"/>
      <c r="I29" s="241"/>
      <c r="J29" s="241"/>
      <c r="K29" s="241"/>
      <c r="L29" s="241"/>
      <c r="M29" s="241"/>
      <c r="N29" s="241"/>
      <c r="O29" s="241"/>
      <c r="P29" s="241"/>
      <c r="Q29" s="241"/>
      <c r="R29" s="241"/>
      <c r="S29" s="241"/>
      <c r="T29" s="241"/>
      <c r="U29" s="241"/>
      <c r="V29" s="241"/>
      <c r="W29" s="241"/>
      <c r="X29" s="241"/>
      <c r="Y29" s="241"/>
      <c r="Z29" s="241"/>
      <c r="AA29" s="241"/>
      <c r="AB29" s="241"/>
      <c r="AC29" s="241"/>
      <c r="AD29" s="241"/>
      <c r="AE29" s="241"/>
      <c r="AF29" s="241"/>
      <c r="AG29" s="241"/>
      <c r="AH29" s="241"/>
      <c r="AI29" s="241"/>
      <c r="AJ29" s="241"/>
      <c r="AK29" s="241"/>
      <c r="AL29" s="241"/>
      <c r="AM29" s="241"/>
      <c r="AN29" s="241"/>
      <c r="AO29" s="241"/>
      <c r="AP29" s="241"/>
      <c r="AQ29" s="241"/>
      <c r="AR29" s="241"/>
      <c r="AS29" s="241"/>
      <c r="AT29" s="241"/>
      <c r="AU29" s="241"/>
      <c r="AV29" s="241"/>
      <c r="AW29" s="241"/>
      <c r="AX29" s="241"/>
      <c r="AY29" s="241"/>
      <c r="AZ29" s="241"/>
      <c r="BA29" s="241"/>
      <c r="BB29" s="241"/>
      <c r="BC29" s="241"/>
      <c r="BD29" s="241"/>
      <c r="BE29" s="241"/>
      <c r="BF29" s="241"/>
      <c r="BG29" s="241"/>
      <c r="BH29" s="241"/>
      <c r="BI29" s="241"/>
      <c r="BJ29" s="241"/>
      <c r="BK29" s="241"/>
      <c r="BL29" s="241"/>
      <c r="BM29" s="241"/>
      <c r="BN29" s="241"/>
      <c r="BO29" s="241"/>
      <c r="BP29" s="241"/>
      <c r="BQ29" s="241"/>
      <c r="BR29" s="241"/>
      <c r="BS29" s="241"/>
      <c r="BT29" s="241"/>
      <c r="BU29" s="241"/>
      <c r="BV29" s="241"/>
      <c r="BW29" s="241"/>
      <c r="BX29" s="241"/>
      <c r="BY29" s="241"/>
      <c r="BZ29" s="241"/>
      <c r="CA29" s="241"/>
      <c r="CB29" s="241"/>
      <c r="CC29" s="241"/>
      <c r="CD29" s="241"/>
      <c r="CE29" s="241"/>
      <c r="CF29" s="241"/>
      <c r="CG29" s="241"/>
      <c r="CH29" s="242"/>
    </row>
    <row r="30" spans="1:86">
      <c r="B30" s="457" t="s">
        <v>50</v>
      </c>
      <c r="C30" s="458"/>
      <c r="D30" s="31">
        <f>Cockpit!N18</f>
        <v>0</v>
      </c>
      <c r="E30" s="31">
        <f t="shared" ref="E30:AJ30" si="184">IF(E29&lt;&gt;"",E29,D30)</f>
        <v>0</v>
      </c>
      <c r="F30" s="31">
        <f t="shared" si="184"/>
        <v>0</v>
      </c>
      <c r="G30" s="31">
        <f t="shared" si="184"/>
        <v>0</v>
      </c>
      <c r="H30" s="31">
        <f t="shared" si="184"/>
        <v>0</v>
      </c>
      <c r="I30" s="31">
        <f t="shared" si="184"/>
        <v>0</v>
      </c>
      <c r="J30" s="31">
        <f t="shared" si="184"/>
        <v>0</v>
      </c>
      <c r="K30" s="31">
        <f t="shared" si="184"/>
        <v>0</v>
      </c>
      <c r="L30" s="31">
        <f t="shared" si="184"/>
        <v>0</v>
      </c>
      <c r="M30" s="31">
        <f t="shared" si="184"/>
        <v>0</v>
      </c>
      <c r="N30" s="31">
        <f t="shared" si="184"/>
        <v>0</v>
      </c>
      <c r="O30" s="31">
        <f t="shared" si="184"/>
        <v>0</v>
      </c>
      <c r="P30" s="31">
        <f t="shared" si="184"/>
        <v>0</v>
      </c>
      <c r="Q30" s="31">
        <f t="shared" si="184"/>
        <v>0</v>
      </c>
      <c r="R30" s="31">
        <f t="shared" si="184"/>
        <v>0</v>
      </c>
      <c r="S30" s="31">
        <f t="shared" si="184"/>
        <v>0</v>
      </c>
      <c r="T30" s="31">
        <f t="shared" si="184"/>
        <v>0</v>
      </c>
      <c r="U30" s="31">
        <f t="shared" si="184"/>
        <v>0</v>
      </c>
      <c r="V30" s="31">
        <f t="shared" si="184"/>
        <v>0</v>
      </c>
      <c r="W30" s="31">
        <f t="shared" si="184"/>
        <v>0</v>
      </c>
      <c r="X30" s="31">
        <f t="shared" si="184"/>
        <v>0</v>
      </c>
      <c r="Y30" s="31">
        <f t="shared" si="184"/>
        <v>0</v>
      </c>
      <c r="Z30" s="31">
        <f t="shared" si="184"/>
        <v>0</v>
      </c>
      <c r="AA30" s="31">
        <f t="shared" si="184"/>
        <v>0</v>
      </c>
      <c r="AB30" s="31">
        <f t="shared" si="184"/>
        <v>0</v>
      </c>
      <c r="AC30" s="31">
        <f t="shared" si="184"/>
        <v>0</v>
      </c>
      <c r="AD30" s="31">
        <f t="shared" si="184"/>
        <v>0</v>
      </c>
      <c r="AE30" s="31">
        <f t="shared" si="184"/>
        <v>0</v>
      </c>
      <c r="AF30" s="31">
        <f t="shared" si="184"/>
        <v>0</v>
      </c>
      <c r="AG30" s="31">
        <f t="shared" si="184"/>
        <v>0</v>
      </c>
      <c r="AH30" s="31">
        <f t="shared" si="184"/>
        <v>0</v>
      </c>
      <c r="AI30" s="31">
        <f t="shared" si="184"/>
        <v>0</v>
      </c>
      <c r="AJ30" s="31">
        <f t="shared" si="184"/>
        <v>0</v>
      </c>
      <c r="AK30" s="31">
        <f t="shared" ref="AK30:BA30" si="185">IF(AK29&lt;&gt;"",AK29,AJ30)</f>
        <v>0</v>
      </c>
      <c r="AL30" s="31">
        <f t="shared" si="185"/>
        <v>0</v>
      </c>
      <c r="AM30" s="31">
        <f t="shared" si="185"/>
        <v>0</v>
      </c>
      <c r="AN30" s="31">
        <f t="shared" si="185"/>
        <v>0</v>
      </c>
      <c r="AO30" s="31">
        <f t="shared" si="185"/>
        <v>0</v>
      </c>
      <c r="AP30" s="31">
        <f t="shared" si="185"/>
        <v>0</v>
      </c>
      <c r="AQ30" s="31">
        <f t="shared" si="185"/>
        <v>0</v>
      </c>
      <c r="AR30" s="31">
        <f t="shared" si="185"/>
        <v>0</v>
      </c>
      <c r="AS30" s="31">
        <f t="shared" si="185"/>
        <v>0</v>
      </c>
      <c r="AT30" s="31">
        <f t="shared" si="185"/>
        <v>0</v>
      </c>
      <c r="AU30" s="31">
        <f t="shared" si="185"/>
        <v>0</v>
      </c>
      <c r="AV30" s="31">
        <f t="shared" si="185"/>
        <v>0</v>
      </c>
      <c r="AW30" s="31">
        <f t="shared" si="185"/>
        <v>0</v>
      </c>
      <c r="AX30" s="31">
        <f t="shared" si="185"/>
        <v>0</v>
      </c>
      <c r="AY30" s="31">
        <f t="shared" si="185"/>
        <v>0</v>
      </c>
      <c r="AZ30" s="31">
        <f t="shared" si="185"/>
        <v>0</v>
      </c>
      <c r="BA30" s="31">
        <f t="shared" si="185"/>
        <v>0</v>
      </c>
      <c r="BB30" s="31">
        <f t="shared" ref="BB30" si="186">IF(BB29&lt;&gt;"",BB29,BA30)</f>
        <v>0</v>
      </c>
      <c r="BC30" s="31">
        <f t="shared" ref="BC30" si="187">IF(BC29&lt;&gt;"",BC29,BB30)</f>
        <v>0</v>
      </c>
      <c r="BD30" s="31">
        <f t="shared" ref="BD30" si="188">IF(BD29&lt;&gt;"",BD29,BC30)</f>
        <v>0</v>
      </c>
      <c r="BE30" s="31">
        <f t="shared" ref="BE30" si="189">IF(BE29&lt;&gt;"",BE29,BD30)</f>
        <v>0</v>
      </c>
      <c r="BF30" s="31">
        <f t="shared" ref="BF30" si="190">IF(BF29&lt;&gt;"",BF29,BE30)</f>
        <v>0</v>
      </c>
      <c r="BG30" s="31">
        <f t="shared" ref="BG30" si="191">IF(BG29&lt;&gt;"",BG29,BF30)</f>
        <v>0</v>
      </c>
      <c r="BH30" s="31">
        <f t="shared" ref="BH30" si="192">IF(BH29&lt;&gt;"",BH29,BG30)</f>
        <v>0</v>
      </c>
      <c r="BI30" s="31">
        <f t="shared" ref="BI30" si="193">IF(BI29&lt;&gt;"",BI29,BH30)</f>
        <v>0</v>
      </c>
      <c r="BJ30" s="31">
        <f t="shared" ref="BJ30" si="194">IF(BJ29&lt;&gt;"",BJ29,BI30)</f>
        <v>0</v>
      </c>
      <c r="BK30" s="31">
        <f t="shared" ref="BK30" si="195">IF(BK29&lt;&gt;"",BK29,BJ30)</f>
        <v>0</v>
      </c>
      <c r="BL30" s="31">
        <f t="shared" ref="BL30" si="196">IF(BL29&lt;&gt;"",BL29,BK30)</f>
        <v>0</v>
      </c>
      <c r="BM30" s="31">
        <f t="shared" ref="BM30" si="197">IF(BM29&lt;&gt;"",BM29,BL30)</f>
        <v>0</v>
      </c>
      <c r="BN30" s="31">
        <f t="shared" ref="BN30" si="198">IF(BN29&lt;&gt;"",BN29,BM30)</f>
        <v>0</v>
      </c>
      <c r="BO30" s="31">
        <f t="shared" ref="BO30" si="199">IF(BO29&lt;&gt;"",BO29,BN30)</f>
        <v>0</v>
      </c>
      <c r="BP30" s="31">
        <f t="shared" ref="BP30" si="200">IF(BP29&lt;&gt;"",BP29,BO30)</f>
        <v>0</v>
      </c>
      <c r="BQ30" s="31">
        <f t="shared" ref="BQ30" si="201">IF(BQ29&lt;&gt;"",BQ29,BP30)</f>
        <v>0</v>
      </c>
      <c r="BR30" s="31">
        <f t="shared" ref="BR30" si="202">IF(BR29&lt;&gt;"",BR29,BQ30)</f>
        <v>0</v>
      </c>
      <c r="BS30" s="31">
        <f t="shared" ref="BS30" si="203">IF(BS29&lt;&gt;"",BS29,BR30)</f>
        <v>0</v>
      </c>
      <c r="BT30" s="31">
        <f t="shared" ref="BT30" si="204">IF(BT29&lt;&gt;"",BT29,BS30)</f>
        <v>0</v>
      </c>
      <c r="BU30" s="31">
        <f t="shared" ref="BU30" si="205">IF(BU29&lt;&gt;"",BU29,BT30)</f>
        <v>0</v>
      </c>
      <c r="BV30" s="31">
        <f t="shared" ref="BV30" si="206">IF(BV29&lt;&gt;"",BV29,BU30)</f>
        <v>0</v>
      </c>
      <c r="BW30" s="31">
        <f t="shared" ref="BW30" si="207">IF(BW29&lt;&gt;"",BW29,BV30)</f>
        <v>0</v>
      </c>
      <c r="BX30" s="31">
        <f t="shared" ref="BX30" si="208">IF(BX29&lt;&gt;"",BX29,BW30)</f>
        <v>0</v>
      </c>
      <c r="BY30" s="31">
        <f t="shared" ref="BY30" si="209">IF(BY29&lt;&gt;"",BY29,BX30)</f>
        <v>0</v>
      </c>
      <c r="BZ30" s="31">
        <f t="shared" ref="BZ30" si="210">IF(BZ29&lt;&gt;"",BZ29,BY30)</f>
        <v>0</v>
      </c>
      <c r="CA30" s="31">
        <f t="shared" ref="CA30" si="211">IF(CA29&lt;&gt;"",CA29,BZ30)</f>
        <v>0</v>
      </c>
      <c r="CB30" s="31">
        <f t="shared" ref="CB30" si="212">IF(CB29&lt;&gt;"",CB29,CA30)</f>
        <v>0</v>
      </c>
      <c r="CC30" s="31">
        <f t="shared" ref="CC30" si="213">IF(CC29&lt;&gt;"",CC29,CB30)</f>
        <v>0</v>
      </c>
      <c r="CD30" s="31">
        <f t="shared" ref="CD30" si="214">IF(CD29&lt;&gt;"",CD29,CC30)</f>
        <v>0</v>
      </c>
      <c r="CE30" s="31">
        <f t="shared" ref="CE30" si="215">IF(CE29&lt;&gt;"",CE29,CD30)</f>
        <v>0</v>
      </c>
      <c r="CF30" s="31">
        <f t="shared" ref="CF30" si="216">IF(CF29&lt;&gt;"",CF29,CE30)</f>
        <v>0</v>
      </c>
      <c r="CG30" s="31">
        <f t="shared" ref="CG30" si="217">IF(CG29&lt;&gt;"",CG29,CF30)</f>
        <v>0</v>
      </c>
      <c r="CH30" s="231">
        <f t="shared" ref="CH30" si="218">IF(CH29&lt;&gt;"",CH29,CG30)</f>
        <v>0</v>
      </c>
    </row>
    <row r="31" spans="1:86" ht="8.25" customHeight="1">
      <c r="B31" s="489"/>
      <c r="C31" s="490"/>
      <c r="I31" s="5"/>
      <c r="J31" s="5"/>
      <c r="K31" s="5"/>
      <c r="L31" s="5"/>
      <c r="CH31" s="232"/>
    </row>
    <row r="32" spans="1:86">
      <c r="B32" s="457" t="s">
        <v>43</v>
      </c>
      <c r="C32" s="458"/>
      <c r="D32" s="3">
        <f>Cockpit!N17</f>
        <v>0</v>
      </c>
      <c r="E32" s="3">
        <f>D41</f>
        <v>0</v>
      </c>
      <c r="F32" s="3">
        <f t="shared" ref="F32:M32" si="219">E41</f>
        <v>0</v>
      </c>
      <c r="G32" s="3">
        <f t="shared" si="219"/>
        <v>0</v>
      </c>
      <c r="H32" s="3">
        <f t="shared" si="219"/>
        <v>0</v>
      </c>
      <c r="I32" s="3">
        <f t="shared" si="219"/>
        <v>0</v>
      </c>
      <c r="J32" s="3">
        <f t="shared" si="219"/>
        <v>0</v>
      </c>
      <c r="K32" s="3">
        <f t="shared" si="219"/>
        <v>0</v>
      </c>
      <c r="L32" s="3">
        <f t="shared" si="219"/>
        <v>0</v>
      </c>
      <c r="M32" s="3">
        <f t="shared" si="219"/>
        <v>0</v>
      </c>
      <c r="N32" s="3">
        <f t="shared" ref="N32:BA32" si="220">M41</f>
        <v>0</v>
      </c>
      <c r="O32" s="3">
        <f t="shared" si="220"/>
        <v>0</v>
      </c>
      <c r="P32" s="3">
        <f t="shared" si="220"/>
        <v>0</v>
      </c>
      <c r="Q32" s="3">
        <f t="shared" si="220"/>
        <v>0</v>
      </c>
      <c r="R32" s="3">
        <f t="shared" si="220"/>
        <v>0</v>
      </c>
      <c r="S32" s="3">
        <f t="shared" si="220"/>
        <v>0</v>
      </c>
      <c r="T32" s="3">
        <f t="shared" si="220"/>
        <v>0</v>
      </c>
      <c r="U32" s="3">
        <f t="shared" si="220"/>
        <v>0</v>
      </c>
      <c r="V32" s="3">
        <f t="shared" si="220"/>
        <v>0</v>
      </c>
      <c r="W32" s="3">
        <f t="shared" si="220"/>
        <v>0</v>
      </c>
      <c r="X32" s="3">
        <f t="shared" si="220"/>
        <v>0</v>
      </c>
      <c r="Y32" s="3">
        <f t="shared" si="220"/>
        <v>0</v>
      </c>
      <c r="Z32" s="3">
        <f t="shared" si="220"/>
        <v>0</v>
      </c>
      <c r="AA32" s="3">
        <f t="shared" si="220"/>
        <v>0</v>
      </c>
      <c r="AB32" s="3">
        <f t="shared" si="220"/>
        <v>0</v>
      </c>
      <c r="AC32" s="3">
        <f t="shared" si="220"/>
        <v>0</v>
      </c>
      <c r="AD32" s="3">
        <f t="shared" si="220"/>
        <v>0</v>
      </c>
      <c r="AE32" s="3">
        <f t="shared" si="220"/>
        <v>0</v>
      </c>
      <c r="AF32" s="3">
        <f t="shared" si="220"/>
        <v>0</v>
      </c>
      <c r="AG32" s="3">
        <f t="shared" si="220"/>
        <v>0</v>
      </c>
      <c r="AH32" s="3">
        <f t="shared" si="220"/>
        <v>0</v>
      </c>
      <c r="AI32" s="3">
        <f t="shared" si="220"/>
        <v>0</v>
      </c>
      <c r="AJ32" s="3">
        <f t="shared" si="220"/>
        <v>0</v>
      </c>
      <c r="AK32" s="3">
        <f t="shared" si="220"/>
        <v>0</v>
      </c>
      <c r="AL32" s="3">
        <f t="shared" si="220"/>
        <v>0</v>
      </c>
      <c r="AM32" s="3">
        <f t="shared" si="220"/>
        <v>0</v>
      </c>
      <c r="AN32" s="3">
        <f t="shared" si="220"/>
        <v>0</v>
      </c>
      <c r="AO32" s="3">
        <f t="shared" si="220"/>
        <v>0</v>
      </c>
      <c r="AP32" s="3">
        <f t="shared" si="220"/>
        <v>0</v>
      </c>
      <c r="AQ32" s="3">
        <f t="shared" si="220"/>
        <v>0</v>
      </c>
      <c r="AR32" s="3">
        <f t="shared" si="220"/>
        <v>0</v>
      </c>
      <c r="AS32" s="3">
        <f t="shared" si="220"/>
        <v>0</v>
      </c>
      <c r="AT32" s="3">
        <f t="shared" si="220"/>
        <v>0</v>
      </c>
      <c r="AU32" s="3">
        <f t="shared" si="220"/>
        <v>0</v>
      </c>
      <c r="AV32" s="3">
        <f t="shared" si="220"/>
        <v>0</v>
      </c>
      <c r="AW32" s="3">
        <f t="shared" si="220"/>
        <v>0</v>
      </c>
      <c r="AX32" s="3">
        <f t="shared" si="220"/>
        <v>0</v>
      </c>
      <c r="AY32" s="3">
        <f t="shared" si="220"/>
        <v>0</v>
      </c>
      <c r="AZ32" s="3">
        <f t="shared" si="220"/>
        <v>0</v>
      </c>
      <c r="BA32" s="3">
        <f t="shared" si="220"/>
        <v>0</v>
      </c>
      <c r="BB32" s="3">
        <f t="shared" ref="BB32" si="221">BA41</f>
        <v>0</v>
      </c>
      <c r="BC32" s="3">
        <f t="shared" ref="BC32" si="222">BB41</f>
        <v>0</v>
      </c>
      <c r="BD32" s="3">
        <f t="shared" ref="BD32" si="223">BC41</f>
        <v>0</v>
      </c>
      <c r="BE32" s="3">
        <f t="shared" ref="BE32" si="224">BD41</f>
        <v>0</v>
      </c>
      <c r="BF32" s="3">
        <f t="shared" ref="BF32" si="225">BE41</f>
        <v>0</v>
      </c>
      <c r="BG32" s="3">
        <f t="shared" ref="BG32" si="226">BF41</f>
        <v>0</v>
      </c>
      <c r="BH32" s="3">
        <f t="shared" ref="BH32" si="227">BG41</f>
        <v>0</v>
      </c>
      <c r="BI32" s="3">
        <f t="shared" ref="BI32" si="228">BH41</f>
        <v>0</v>
      </c>
      <c r="BJ32" s="3">
        <f t="shared" ref="BJ32" si="229">BI41</f>
        <v>0</v>
      </c>
      <c r="BK32" s="3">
        <f t="shared" ref="BK32" si="230">BJ41</f>
        <v>0</v>
      </c>
      <c r="BL32" s="3">
        <f t="shared" ref="BL32" si="231">BK41</f>
        <v>0</v>
      </c>
      <c r="BM32" s="3">
        <f t="shared" ref="BM32" si="232">BL41</f>
        <v>0</v>
      </c>
      <c r="BN32" s="3">
        <f t="shared" ref="BN32" si="233">BM41</f>
        <v>0</v>
      </c>
      <c r="BO32" s="3">
        <f t="shared" ref="BO32" si="234">BN41</f>
        <v>0</v>
      </c>
      <c r="BP32" s="3">
        <f t="shared" ref="BP32" si="235">BO41</f>
        <v>0</v>
      </c>
      <c r="BQ32" s="3">
        <f t="shared" ref="BQ32" si="236">BP41</f>
        <v>0</v>
      </c>
      <c r="BR32" s="3">
        <f t="shared" ref="BR32" si="237">BQ41</f>
        <v>0</v>
      </c>
      <c r="BS32" s="3">
        <f t="shared" ref="BS32" si="238">BR41</f>
        <v>0</v>
      </c>
      <c r="BT32" s="3">
        <f t="shared" ref="BT32" si="239">BS41</f>
        <v>0</v>
      </c>
      <c r="BU32" s="3">
        <f t="shared" ref="BU32" si="240">BT41</f>
        <v>0</v>
      </c>
      <c r="BV32" s="3">
        <f t="shared" ref="BV32" si="241">BU41</f>
        <v>0</v>
      </c>
      <c r="BW32" s="3">
        <f t="shared" ref="BW32" si="242">BV41</f>
        <v>0</v>
      </c>
      <c r="BX32" s="3">
        <f t="shared" ref="BX32" si="243">BW41</f>
        <v>0</v>
      </c>
      <c r="BY32" s="3">
        <f t="shared" ref="BY32" si="244">BX41</f>
        <v>0</v>
      </c>
      <c r="BZ32" s="3">
        <f t="shared" ref="BZ32" si="245">BY41</f>
        <v>0</v>
      </c>
      <c r="CA32" s="3">
        <f t="shared" ref="CA32" si="246">BZ41</f>
        <v>0</v>
      </c>
      <c r="CB32" s="3">
        <f t="shared" ref="CB32" si="247">CA41</f>
        <v>0</v>
      </c>
      <c r="CC32" s="3">
        <f t="shared" ref="CC32" si="248">CB41</f>
        <v>0</v>
      </c>
      <c r="CD32" s="3">
        <f t="shared" ref="CD32" si="249">CC41</f>
        <v>0</v>
      </c>
      <c r="CE32" s="3">
        <f t="shared" ref="CE32" si="250">CD41</f>
        <v>0</v>
      </c>
      <c r="CF32" s="3">
        <f t="shared" ref="CF32" si="251">CE41</f>
        <v>0</v>
      </c>
      <c r="CG32" s="3">
        <f t="shared" ref="CG32" si="252">CF41</f>
        <v>0</v>
      </c>
      <c r="CH32" s="226">
        <f t="shared" ref="CH32" si="253">CG41</f>
        <v>0</v>
      </c>
    </row>
    <row r="33" spans="2:86">
      <c r="B33" s="457" t="s">
        <v>44</v>
      </c>
      <c r="C33" s="458"/>
      <c r="D33" s="3">
        <f t="shared" ref="D33:AI33" si="254">D30*D32</f>
        <v>0</v>
      </c>
      <c r="E33" s="3">
        <f t="shared" si="254"/>
        <v>0</v>
      </c>
      <c r="F33" s="3">
        <f t="shared" si="254"/>
        <v>0</v>
      </c>
      <c r="G33" s="3">
        <f t="shared" si="254"/>
        <v>0</v>
      </c>
      <c r="H33" s="3">
        <f t="shared" si="254"/>
        <v>0</v>
      </c>
      <c r="I33" s="3">
        <f t="shared" si="254"/>
        <v>0</v>
      </c>
      <c r="J33" s="3">
        <f t="shared" si="254"/>
        <v>0</v>
      </c>
      <c r="K33" s="3">
        <f t="shared" si="254"/>
        <v>0</v>
      </c>
      <c r="L33" s="3">
        <f t="shared" si="254"/>
        <v>0</v>
      </c>
      <c r="M33" s="3">
        <f t="shared" si="254"/>
        <v>0</v>
      </c>
      <c r="N33" s="3">
        <f t="shared" si="254"/>
        <v>0</v>
      </c>
      <c r="O33" s="3">
        <f t="shared" si="254"/>
        <v>0</v>
      </c>
      <c r="P33" s="3">
        <f t="shared" si="254"/>
        <v>0</v>
      </c>
      <c r="Q33" s="3">
        <f t="shared" si="254"/>
        <v>0</v>
      </c>
      <c r="R33" s="3">
        <f t="shared" si="254"/>
        <v>0</v>
      </c>
      <c r="S33" s="3">
        <f t="shared" si="254"/>
        <v>0</v>
      </c>
      <c r="T33" s="3">
        <f t="shared" si="254"/>
        <v>0</v>
      </c>
      <c r="U33" s="3">
        <f t="shared" si="254"/>
        <v>0</v>
      </c>
      <c r="V33" s="3">
        <f t="shared" si="254"/>
        <v>0</v>
      </c>
      <c r="W33" s="3">
        <f t="shared" si="254"/>
        <v>0</v>
      </c>
      <c r="X33" s="3">
        <f t="shared" si="254"/>
        <v>0</v>
      </c>
      <c r="Y33" s="3">
        <f t="shared" si="254"/>
        <v>0</v>
      </c>
      <c r="Z33" s="3">
        <f t="shared" si="254"/>
        <v>0</v>
      </c>
      <c r="AA33" s="3">
        <f t="shared" si="254"/>
        <v>0</v>
      </c>
      <c r="AB33" s="3">
        <f t="shared" si="254"/>
        <v>0</v>
      </c>
      <c r="AC33" s="3">
        <f t="shared" si="254"/>
        <v>0</v>
      </c>
      <c r="AD33" s="3">
        <f t="shared" si="254"/>
        <v>0</v>
      </c>
      <c r="AE33" s="3">
        <f t="shared" si="254"/>
        <v>0</v>
      </c>
      <c r="AF33" s="3">
        <f t="shared" si="254"/>
        <v>0</v>
      </c>
      <c r="AG33" s="3">
        <f t="shared" si="254"/>
        <v>0</v>
      </c>
      <c r="AH33" s="3">
        <f t="shared" si="254"/>
        <v>0</v>
      </c>
      <c r="AI33" s="3">
        <f t="shared" si="254"/>
        <v>0</v>
      </c>
      <c r="AJ33" s="3">
        <f t="shared" ref="AJ33:BA33" si="255">AJ30*AJ32</f>
        <v>0</v>
      </c>
      <c r="AK33" s="3">
        <f t="shared" si="255"/>
        <v>0</v>
      </c>
      <c r="AL33" s="3">
        <f t="shared" si="255"/>
        <v>0</v>
      </c>
      <c r="AM33" s="3">
        <f t="shared" si="255"/>
        <v>0</v>
      </c>
      <c r="AN33" s="3">
        <f t="shared" si="255"/>
        <v>0</v>
      </c>
      <c r="AO33" s="3">
        <f t="shared" si="255"/>
        <v>0</v>
      </c>
      <c r="AP33" s="3">
        <f t="shared" si="255"/>
        <v>0</v>
      </c>
      <c r="AQ33" s="3">
        <f t="shared" si="255"/>
        <v>0</v>
      </c>
      <c r="AR33" s="3">
        <f t="shared" si="255"/>
        <v>0</v>
      </c>
      <c r="AS33" s="3">
        <f t="shared" si="255"/>
        <v>0</v>
      </c>
      <c r="AT33" s="3">
        <f t="shared" si="255"/>
        <v>0</v>
      </c>
      <c r="AU33" s="3">
        <f t="shared" si="255"/>
        <v>0</v>
      </c>
      <c r="AV33" s="3">
        <f t="shared" si="255"/>
        <v>0</v>
      </c>
      <c r="AW33" s="3">
        <f t="shared" si="255"/>
        <v>0</v>
      </c>
      <c r="AX33" s="3">
        <f t="shared" si="255"/>
        <v>0</v>
      </c>
      <c r="AY33" s="3">
        <f t="shared" si="255"/>
        <v>0</v>
      </c>
      <c r="AZ33" s="3">
        <f t="shared" si="255"/>
        <v>0</v>
      </c>
      <c r="BA33" s="3">
        <f t="shared" si="255"/>
        <v>0</v>
      </c>
      <c r="BB33" s="3">
        <f t="shared" ref="BB33:CH33" si="256">BB30*BB32</f>
        <v>0</v>
      </c>
      <c r="BC33" s="3">
        <f t="shared" si="256"/>
        <v>0</v>
      </c>
      <c r="BD33" s="3">
        <f t="shared" si="256"/>
        <v>0</v>
      </c>
      <c r="BE33" s="3">
        <f t="shared" si="256"/>
        <v>0</v>
      </c>
      <c r="BF33" s="3">
        <f t="shared" si="256"/>
        <v>0</v>
      </c>
      <c r="BG33" s="3">
        <f t="shared" si="256"/>
        <v>0</v>
      </c>
      <c r="BH33" s="3">
        <f t="shared" si="256"/>
        <v>0</v>
      </c>
      <c r="BI33" s="3">
        <f t="shared" si="256"/>
        <v>0</v>
      </c>
      <c r="BJ33" s="3">
        <f t="shared" si="256"/>
        <v>0</v>
      </c>
      <c r="BK33" s="3">
        <f t="shared" si="256"/>
        <v>0</v>
      </c>
      <c r="BL33" s="3">
        <f t="shared" si="256"/>
        <v>0</v>
      </c>
      <c r="BM33" s="3">
        <f t="shared" si="256"/>
        <v>0</v>
      </c>
      <c r="BN33" s="3">
        <f t="shared" si="256"/>
        <v>0</v>
      </c>
      <c r="BO33" s="3">
        <f t="shared" si="256"/>
        <v>0</v>
      </c>
      <c r="BP33" s="3">
        <f t="shared" si="256"/>
        <v>0</v>
      </c>
      <c r="BQ33" s="3">
        <f t="shared" si="256"/>
        <v>0</v>
      </c>
      <c r="BR33" s="3">
        <f t="shared" si="256"/>
        <v>0</v>
      </c>
      <c r="BS33" s="3">
        <f t="shared" si="256"/>
        <v>0</v>
      </c>
      <c r="BT33" s="3">
        <f t="shared" si="256"/>
        <v>0</v>
      </c>
      <c r="BU33" s="3">
        <f t="shared" si="256"/>
        <v>0</v>
      </c>
      <c r="BV33" s="3">
        <f t="shared" si="256"/>
        <v>0</v>
      </c>
      <c r="BW33" s="3">
        <f t="shared" si="256"/>
        <v>0</v>
      </c>
      <c r="BX33" s="3">
        <f t="shared" si="256"/>
        <v>0</v>
      </c>
      <c r="BY33" s="3">
        <f t="shared" si="256"/>
        <v>0</v>
      </c>
      <c r="BZ33" s="3">
        <f t="shared" si="256"/>
        <v>0</v>
      </c>
      <c r="CA33" s="3">
        <f t="shared" si="256"/>
        <v>0</v>
      </c>
      <c r="CB33" s="3">
        <f t="shared" si="256"/>
        <v>0</v>
      </c>
      <c r="CC33" s="3">
        <f t="shared" si="256"/>
        <v>0</v>
      </c>
      <c r="CD33" s="3">
        <f t="shared" si="256"/>
        <v>0</v>
      </c>
      <c r="CE33" s="3">
        <f t="shared" si="256"/>
        <v>0</v>
      </c>
      <c r="CF33" s="3">
        <f t="shared" si="256"/>
        <v>0</v>
      </c>
      <c r="CG33" s="3">
        <f t="shared" si="256"/>
        <v>0</v>
      </c>
      <c r="CH33" s="226">
        <f t="shared" si="256"/>
        <v>0</v>
      </c>
    </row>
    <row r="34" spans="2:86" ht="9.75" customHeight="1">
      <c r="B34" s="489"/>
      <c r="C34" s="490"/>
      <c r="I34" s="5"/>
      <c r="J34" s="5"/>
      <c r="K34" s="5"/>
      <c r="L34" s="5"/>
      <c r="CH34" s="232"/>
    </row>
    <row r="35" spans="2:86">
      <c r="B35" s="457" t="s">
        <v>53</v>
      </c>
      <c r="C35" s="458"/>
      <c r="D35" s="3"/>
      <c r="E35" s="238"/>
      <c r="F35" s="238"/>
      <c r="G35" s="238"/>
      <c r="H35" s="238"/>
      <c r="I35" s="238"/>
      <c r="J35" s="238"/>
      <c r="K35" s="238"/>
      <c r="L35" s="238"/>
      <c r="M35" s="238"/>
      <c r="N35" s="238"/>
      <c r="O35" s="238"/>
      <c r="P35" s="238"/>
      <c r="Q35" s="238"/>
      <c r="R35" s="238"/>
      <c r="S35" s="238"/>
      <c r="T35" s="238"/>
      <c r="U35" s="238"/>
      <c r="V35" s="238"/>
      <c r="W35" s="238"/>
      <c r="X35" s="238"/>
      <c r="Y35" s="238"/>
      <c r="Z35" s="238"/>
      <c r="AA35" s="238"/>
      <c r="AB35" s="238"/>
      <c r="AC35" s="238"/>
      <c r="AD35" s="238"/>
      <c r="AE35" s="238"/>
      <c r="AF35" s="238"/>
      <c r="AG35" s="238"/>
      <c r="AH35" s="238"/>
      <c r="AI35" s="238"/>
      <c r="AJ35" s="238"/>
      <c r="AK35" s="238"/>
      <c r="AL35" s="238"/>
      <c r="AM35" s="238"/>
      <c r="AN35" s="238"/>
      <c r="AO35" s="238"/>
      <c r="AP35" s="238"/>
      <c r="AQ35" s="238"/>
      <c r="AR35" s="238"/>
      <c r="AS35" s="238"/>
      <c r="AT35" s="238"/>
      <c r="AU35" s="238"/>
      <c r="AV35" s="238"/>
      <c r="AW35" s="238"/>
      <c r="AX35" s="238"/>
      <c r="AY35" s="238"/>
      <c r="AZ35" s="238"/>
      <c r="BA35" s="238"/>
      <c r="BB35" s="238"/>
      <c r="BC35" s="238"/>
      <c r="BD35" s="238"/>
      <c r="BE35" s="238"/>
      <c r="BF35" s="238"/>
      <c r="BG35" s="238"/>
      <c r="BH35" s="238"/>
      <c r="BI35" s="238"/>
      <c r="BJ35" s="238"/>
      <c r="BK35" s="238"/>
      <c r="BL35" s="238"/>
      <c r="BM35" s="238"/>
      <c r="BN35" s="238"/>
      <c r="BO35" s="238"/>
      <c r="BP35" s="238"/>
      <c r="BQ35" s="238"/>
      <c r="BR35" s="238"/>
      <c r="BS35" s="238"/>
      <c r="BT35" s="238"/>
      <c r="BU35" s="238"/>
      <c r="BV35" s="238"/>
      <c r="BW35" s="238"/>
      <c r="BX35" s="238"/>
      <c r="BY35" s="238"/>
      <c r="BZ35" s="238"/>
      <c r="CA35" s="238"/>
      <c r="CB35" s="238"/>
      <c r="CC35" s="238"/>
      <c r="CD35" s="238"/>
      <c r="CE35" s="238"/>
      <c r="CF35" s="238"/>
      <c r="CG35" s="238"/>
      <c r="CH35" s="239"/>
    </row>
    <row r="36" spans="2:86">
      <c r="B36" s="457" t="s">
        <v>54</v>
      </c>
      <c r="C36" s="458"/>
      <c r="D36" s="3">
        <f>Cockpit!$N$19*D32</f>
        <v>0</v>
      </c>
      <c r="E36" s="3">
        <f t="shared" ref="E36:L36" si="257">MIN(D41,IF(E35&lt;&gt;"",E35,MAX(D39-E33,0)))</f>
        <v>0</v>
      </c>
      <c r="F36" s="3">
        <f t="shared" si="257"/>
        <v>0</v>
      </c>
      <c r="G36" s="3">
        <f t="shared" si="257"/>
        <v>0</v>
      </c>
      <c r="H36" s="3">
        <f t="shared" si="257"/>
        <v>0</v>
      </c>
      <c r="I36" s="3">
        <f t="shared" si="257"/>
        <v>0</v>
      </c>
      <c r="J36" s="3">
        <f t="shared" si="257"/>
        <v>0</v>
      </c>
      <c r="K36" s="3">
        <f t="shared" si="257"/>
        <v>0</v>
      </c>
      <c r="L36" s="3">
        <f t="shared" si="257"/>
        <v>0</v>
      </c>
      <c r="M36" s="3">
        <f>MIN(L41,IF(M35&lt;&gt;"",M35,MAX(L39-M33,0)))</f>
        <v>0</v>
      </c>
      <c r="N36" s="3">
        <f t="shared" ref="N36:AZ36" si="258">MIN(M41,IF(N35&lt;&gt;"",N35,MAX(M39-N33,0)))</f>
        <v>0</v>
      </c>
      <c r="O36" s="3">
        <f t="shared" si="258"/>
        <v>0</v>
      </c>
      <c r="P36" s="3">
        <f t="shared" si="258"/>
        <v>0</v>
      </c>
      <c r="Q36" s="3">
        <f t="shared" si="258"/>
        <v>0</v>
      </c>
      <c r="R36" s="3">
        <f t="shared" si="258"/>
        <v>0</v>
      </c>
      <c r="S36" s="3">
        <f t="shared" si="258"/>
        <v>0</v>
      </c>
      <c r="T36" s="3">
        <f t="shared" si="258"/>
        <v>0</v>
      </c>
      <c r="U36" s="3">
        <f t="shared" si="258"/>
        <v>0</v>
      </c>
      <c r="V36" s="3">
        <f t="shared" si="258"/>
        <v>0</v>
      </c>
      <c r="W36" s="3">
        <f t="shared" si="258"/>
        <v>0</v>
      </c>
      <c r="X36" s="3">
        <f t="shared" si="258"/>
        <v>0</v>
      </c>
      <c r="Y36" s="3">
        <f t="shared" si="258"/>
        <v>0</v>
      </c>
      <c r="Z36" s="3">
        <f t="shared" si="258"/>
        <v>0</v>
      </c>
      <c r="AA36" s="3">
        <f t="shared" si="258"/>
        <v>0</v>
      </c>
      <c r="AB36" s="3">
        <f t="shared" si="258"/>
        <v>0</v>
      </c>
      <c r="AC36" s="3">
        <f t="shared" si="258"/>
        <v>0</v>
      </c>
      <c r="AD36" s="3">
        <f t="shared" si="258"/>
        <v>0</v>
      </c>
      <c r="AE36" s="3">
        <f t="shared" si="258"/>
        <v>0</v>
      </c>
      <c r="AF36" s="3">
        <f t="shared" si="258"/>
        <v>0</v>
      </c>
      <c r="AG36" s="3">
        <f t="shared" si="258"/>
        <v>0</v>
      </c>
      <c r="AH36" s="3">
        <f t="shared" si="258"/>
        <v>0</v>
      </c>
      <c r="AI36" s="3">
        <f t="shared" si="258"/>
        <v>0</v>
      </c>
      <c r="AJ36" s="3">
        <f t="shared" si="258"/>
        <v>0</v>
      </c>
      <c r="AK36" s="3">
        <f t="shared" si="258"/>
        <v>0</v>
      </c>
      <c r="AL36" s="3">
        <f t="shared" si="258"/>
        <v>0</v>
      </c>
      <c r="AM36" s="3">
        <f t="shared" si="258"/>
        <v>0</v>
      </c>
      <c r="AN36" s="3">
        <f t="shared" si="258"/>
        <v>0</v>
      </c>
      <c r="AO36" s="3">
        <f t="shared" si="258"/>
        <v>0</v>
      </c>
      <c r="AP36" s="3">
        <f t="shared" si="258"/>
        <v>0</v>
      </c>
      <c r="AQ36" s="3">
        <f t="shared" si="258"/>
        <v>0</v>
      </c>
      <c r="AR36" s="3">
        <f t="shared" si="258"/>
        <v>0</v>
      </c>
      <c r="AS36" s="3">
        <f t="shared" si="258"/>
        <v>0</v>
      </c>
      <c r="AT36" s="3">
        <f t="shared" si="258"/>
        <v>0</v>
      </c>
      <c r="AU36" s="3">
        <f t="shared" si="258"/>
        <v>0</v>
      </c>
      <c r="AV36" s="3">
        <f t="shared" si="258"/>
        <v>0</v>
      </c>
      <c r="AW36" s="3">
        <f t="shared" si="258"/>
        <v>0</v>
      </c>
      <c r="AX36" s="3">
        <f t="shared" si="258"/>
        <v>0</v>
      </c>
      <c r="AY36" s="3">
        <f t="shared" si="258"/>
        <v>0</v>
      </c>
      <c r="AZ36" s="3">
        <f t="shared" si="258"/>
        <v>0</v>
      </c>
      <c r="BA36" s="3">
        <f>MIN(AZ41,IF(BA35&lt;&gt;"",BA35,MAX(AZ39-BA33,0)))</f>
        <v>0</v>
      </c>
      <c r="BB36" s="3">
        <f t="shared" ref="BB36:BC36" si="259">MIN(BA41,IF(BB35&lt;&gt;"",BB35,MAX(BA39-BB33,0)))</f>
        <v>0</v>
      </c>
      <c r="BC36" s="3">
        <f t="shared" si="259"/>
        <v>0</v>
      </c>
      <c r="BD36" s="3">
        <f t="shared" ref="BD36:BE36" si="260">MIN(BC41,IF(BD35&lt;&gt;"",BD35,MAX(BC39-BD33,0)))</f>
        <v>0</v>
      </c>
      <c r="BE36" s="3">
        <f t="shared" si="260"/>
        <v>0</v>
      </c>
      <c r="BF36" s="3">
        <f t="shared" ref="BF36:BG36" si="261">MIN(BE41,IF(BF35&lt;&gt;"",BF35,MAX(BE39-BF33,0)))</f>
        <v>0</v>
      </c>
      <c r="BG36" s="3">
        <f t="shared" si="261"/>
        <v>0</v>
      </c>
      <c r="BH36" s="3">
        <f t="shared" ref="BH36:BI36" si="262">MIN(BG41,IF(BH35&lt;&gt;"",BH35,MAX(BG39-BH33,0)))</f>
        <v>0</v>
      </c>
      <c r="BI36" s="3">
        <f t="shared" si="262"/>
        <v>0</v>
      </c>
      <c r="BJ36" s="3">
        <f t="shared" ref="BJ36:BK36" si="263">MIN(BI41,IF(BJ35&lt;&gt;"",BJ35,MAX(BI39-BJ33,0)))</f>
        <v>0</v>
      </c>
      <c r="BK36" s="3">
        <f t="shared" si="263"/>
        <v>0</v>
      </c>
      <c r="BL36" s="3">
        <f t="shared" ref="BL36:BM36" si="264">MIN(BK41,IF(BL35&lt;&gt;"",BL35,MAX(BK39-BL33,0)))</f>
        <v>0</v>
      </c>
      <c r="BM36" s="3">
        <f t="shared" si="264"/>
        <v>0</v>
      </c>
      <c r="BN36" s="3">
        <f t="shared" ref="BN36:BO36" si="265">MIN(BM41,IF(BN35&lt;&gt;"",BN35,MAX(BM39-BN33,0)))</f>
        <v>0</v>
      </c>
      <c r="BO36" s="3">
        <f t="shared" si="265"/>
        <v>0</v>
      </c>
      <c r="BP36" s="3">
        <f t="shared" ref="BP36:BQ36" si="266">MIN(BO41,IF(BP35&lt;&gt;"",BP35,MAX(BO39-BP33,0)))</f>
        <v>0</v>
      </c>
      <c r="BQ36" s="3">
        <f t="shared" si="266"/>
        <v>0</v>
      </c>
      <c r="BR36" s="3">
        <f t="shared" ref="BR36:BS36" si="267">MIN(BQ41,IF(BR35&lt;&gt;"",BR35,MAX(BQ39-BR33,0)))</f>
        <v>0</v>
      </c>
      <c r="BS36" s="3">
        <f t="shared" si="267"/>
        <v>0</v>
      </c>
      <c r="BT36" s="3">
        <f t="shared" ref="BT36:BU36" si="268">MIN(BS41,IF(BT35&lt;&gt;"",BT35,MAX(BS39-BT33,0)))</f>
        <v>0</v>
      </c>
      <c r="BU36" s="3">
        <f t="shared" si="268"/>
        <v>0</v>
      </c>
      <c r="BV36" s="3">
        <f t="shared" ref="BV36:BW36" si="269">MIN(BU41,IF(BV35&lt;&gt;"",BV35,MAX(BU39-BV33,0)))</f>
        <v>0</v>
      </c>
      <c r="BW36" s="3">
        <f t="shared" si="269"/>
        <v>0</v>
      </c>
      <c r="BX36" s="3">
        <f t="shared" ref="BX36:BY36" si="270">MIN(BW41,IF(BX35&lt;&gt;"",BX35,MAX(BW39-BX33,0)))</f>
        <v>0</v>
      </c>
      <c r="BY36" s="3">
        <f t="shared" si="270"/>
        <v>0</v>
      </c>
      <c r="BZ36" s="3">
        <f t="shared" ref="BZ36:CA36" si="271">MIN(BY41,IF(BZ35&lt;&gt;"",BZ35,MAX(BY39-BZ33,0)))</f>
        <v>0</v>
      </c>
      <c r="CA36" s="3">
        <f t="shared" si="271"/>
        <v>0</v>
      </c>
      <c r="CB36" s="3">
        <f t="shared" ref="CB36:CC36" si="272">MIN(CA41,IF(CB35&lt;&gt;"",CB35,MAX(CA39-CB33,0)))</f>
        <v>0</v>
      </c>
      <c r="CC36" s="3">
        <f t="shared" si="272"/>
        <v>0</v>
      </c>
      <c r="CD36" s="3">
        <f t="shared" ref="CD36:CE36" si="273">MIN(CC41,IF(CD35&lt;&gt;"",CD35,MAX(CC39-CD33,0)))</f>
        <v>0</v>
      </c>
      <c r="CE36" s="3">
        <f t="shared" si="273"/>
        <v>0</v>
      </c>
      <c r="CF36" s="3">
        <f t="shared" ref="CF36:CG36" si="274">MIN(CE41,IF(CF35&lt;&gt;"",CF35,MAX(CE39-CF33,0)))</f>
        <v>0</v>
      </c>
      <c r="CG36" s="3">
        <f t="shared" si="274"/>
        <v>0</v>
      </c>
      <c r="CH36" s="226">
        <f t="shared" ref="CH36" si="275">MIN(CG41,IF(CH35&lt;&gt;"",CH35,MAX(CG39-CH33,0)))</f>
        <v>0</v>
      </c>
    </row>
    <row r="37" spans="2:86">
      <c r="B37" s="491" t="s">
        <v>55</v>
      </c>
      <c r="C37" s="492"/>
      <c r="D37" s="31">
        <f>IF(D32&gt;0,D36/D32,)</f>
        <v>0</v>
      </c>
      <c r="E37" s="31">
        <f t="shared" ref="E37:BA37" si="276">IF(E32&gt;0,E36/E32,)</f>
        <v>0</v>
      </c>
      <c r="F37" s="31">
        <f t="shared" si="276"/>
        <v>0</v>
      </c>
      <c r="G37" s="31">
        <f t="shared" si="276"/>
        <v>0</v>
      </c>
      <c r="H37" s="31">
        <f t="shared" si="276"/>
        <v>0</v>
      </c>
      <c r="I37" s="31">
        <f t="shared" si="276"/>
        <v>0</v>
      </c>
      <c r="J37" s="31">
        <f t="shared" si="276"/>
        <v>0</v>
      </c>
      <c r="K37" s="31">
        <f t="shared" si="276"/>
        <v>0</v>
      </c>
      <c r="L37" s="31">
        <f t="shared" si="276"/>
        <v>0</v>
      </c>
      <c r="M37" s="31">
        <f t="shared" si="276"/>
        <v>0</v>
      </c>
      <c r="N37" s="31">
        <f t="shared" si="276"/>
        <v>0</v>
      </c>
      <c r="O37" s="31">
        <f t="shared" si="276"/>
        <v>0</v>
      </c>
      <c r="P37" s="31">
        <f t="shared" si="276"/>
        <v>0</v>
      </c>
      <c r="Q37" s="31">
        <f t="shared" si="276"/>
        <v>0</v>
      </c>
      <c r="R37" s="31">
        <f t="shared" si="276"/>
        <v>0</v>
      </c>
      <c r="S37" s="31">
        <f t="shared" si="276"/>
        <v>0</v>
      </c>
      <c r="T37" s="31">
        <f t="shared" si="276"/>
        <v>0</v>
      </c>
      <c r="U37" s="31">
        <f t="shared" si="276"/>
        <v>0</v>
      </c>
      <c r="V37" s="31">
        <f t="shared" si="276"/>
        <v>0</v>
      </c>
      <c r="W37" s="31">
        <f t="shared" si="276"/>
        <v>0</v>
      </c>
      <c r="X37" s="31">
        <f t="shared" si="276"/>
        <v>0</v>
      </c>
      <c r="Y37" s="31">
        <f t="shared" si="276"/>
        <v>0</v>
      </c>
      <c r="Z37" s="31">
        <f t="shared" si="276"/>
        <v>0</v>
      </c>
      <c r="AA37" s="31">
        <f t="shared" si="276"/>
        <v>0</v>
      </c>
      <c r="AB37" s="31">
        <f t="shared" si="276"/>
        <v>0</v>
      </c>
      <c r="AC37" s="31">
        <f t="shared" si="276"/>
        <v>0</v>
      </c>
      <c r="AD37" s="31">
        <f t="shared" si="276"/>
        <v>0</v>
      </c>
      <c r="AE37" s="31">
        <f t="shared" si="276"/>
        <v>0</v>
      </c>
      <c r="AF37" s="31">
        <f t="shared" si="276"/>
        <v>0</v>
      </c>
      <c r="AG37" s="31">
        <f t="shared" si="276"/>
        <v>0</v>
      </c>
      <c r="AH37" s="31">
        <f t="shared" si="276"/>
        <v>0</v>
      </c>
      <c r="AI37" s="31">
        <f t="shared" si="276"/>
        <v>0</v>
      </c>
      <c r="AJ37" s="31">
        <f t="shared" si="276"/>
        <v>0</v>
      </c>
      <c r="AK37" s="31">
        <f t="shared" si="276"/>
        <v>0</v>
      </c>
      <c r="AL37" s="31">
        <f t="shared" si="276"/>
        <v>0</v>
      </c>
      <c r="AM37" s="31">
        <f t="shared" si="276"/>
        <v>0</v>
      </c>
      <c r="AN37" s="31">
        <f t="shared" si="276"/>
        <v>0</v>
      </c>
      <c r="AO37" s="31">
        <f t="shared" si="276"/>
        <v>0</v>
      </c>
      <c r="AP37" s="31">
        <f t="shared" si="276"/>
        <v>0</v>
      </c>
      <c r="AQ37" s="31">
        <f t="shared" si="276"/>
        <v>0</v>
      </c>
      <c r="AR37" s="31">
        <f t="shared" si="276"/>
        <v>0</v>
      </c>
      <c r="AS37" s="31">
        <f t="shared" si="276"/>
        <v>0</v>
      </c>
      <c r="AT37" s="31">
        <f t="shared" si="276"/>
        <v>0</v>
      </c>
      <c r="AU37" s="31">
        <f t="shared" si="276"/>
        <v>0</v>
      </c>
      <c r="AV37" s="31">
        <f t="shared" si="276"/>
        <v>0</v>
      </c>
      <c r="AW37" s="31">
        <f t="shared" si="276"/>
        <v>0</v>
      </c>
      <c r="AX37" s="31">
        <f t="shared" si="276"/>
        <v>0</v>
      </c>
      <c r="AY37" s="31">
        <f t="shared" si="276"/>
        <v>0</v>
      </c>
      <c r="AZ37" s="31">
        <f t="shared" si="276"/>
        <v>0</v>
      </c>
      <c r="BA37" s="31">
        <f t="shared" si="276"/>
        <v>0</v>
      </c>
      <c r="BB37" s="31">
        <f t="shared" ref="BB37:CH37" si="277">IF(BB32&gt;0,BB36/BB32,)</f>
        <v>0</v>
      </c>
      <c r="BC37" s="31">
        <f t="shared" si="277"/>
        <v>0</v>
      </c>
      <c r="BD37" s="31">
        <f t="shared" si="277"/>
        <v>0</v>
      </c>
      <c r="BE37" s="31">
        <f t="shared" si="277"/>
        <v>0</v>
      </c>
      <c r="BF37" s="31">
        <f t="shared" si="277"/>
        <v>0</v>
      </c>
      <c r="BG37" s="31">
        <f t="shared" si="277"/>
        <v>0</v>
      </c>
      <c r="BH37" s="31">
        <f t="shared" si="277"/>
        <v>0</v>
      </c>
      <c r="BI37" s="31">
        <f t="shared" si="277"/>
        <v>0</v>
      </c>
      <c r="BJ37" s="31">
        <f t="shared" si="277"/>
        <v>0</v>
      </c>
      <c r="BK37" s="31">
        <f t="shared" si="277"/>
        <v>0</v>
      </c>
      <c r="BL37" s="31">
        <f t="shared" si="277"/>
        <v>0</v>
      </c>
      <c r="BM37" s="31">
        <f t="shared" si="277"/>
        <v>0</v>
      </c>
      <c r="BN37" s="31">
        <f t="shared" si="277"/>
        <v>0</v>
      </c>
      <c r="BO37" s="31">
        <f t="shared" si="277"/>
        <v>0</v>
      </c>
      <c r="BP37" s="31">
        <f t="shared" si="277"/>
        <v>0</v>
      </c>
      <c r="BQ37" s="31">
        <f t="shared" si="277"/>
        <v>0</v>
      </c>
      <c r="BR37" s="31">
        <f t="shared" si="277"/>
        <v>0</v>
      </c>
      <c r="BS37" s="31">
        <f t="shared" si="277"/>
        <v>0</v>
      </c>
      <c r="BT37" s="31">
        <f t="shared" si="277"/>
        <v>0</v>
      </c>
      <c r="BU37" s="31">
        <f t="shared" si="277"/>
        <v>0</v>
      </c>
      <c r="BV37" s="31">
        <f t="shared" si="277"/>
        <v>0</v>
      </c>
      <c r="BW37" s="31">
        <f t="shared" si="277"/>
        <v>0</v>
      </c>
      <c r="BX37" s="31">
        <f t="shared" si="277"/>
        <v>0</v>
      </c>
      <c r="BY37" s="31">
        <f t="shared" si="277"/>
        <v>0</v>
      </c>
      <c r="BZ37" s="31">
        <f t="shared" si="277"/>
        <v>0</v>
      </c>
      <c r="CA37" s="31">
        <f t="shared" si="277"/>
        <v>0</v>
      </c>
      <c r="CB37" s="31">
        <f t="shared" si="277"/>
        <v>0</v>
      </c>
      <c r="CC37" s="31">
        <f t="shared" si="277"/>
        <v>0</v>
      </c>
      <c r="CD37" s="31">
        <f t="shared" si="277"/>
        <v>0</v>
      </c>
      <c r="CE37" s="31">
        <f t="shared" si="277"/>
        <v>0</v>
      </c>
      <c r="CF37" s="31">
        <f t="shared" si="277"/>
        <v>0</v>
      </c>
      <c r="CG37" s="31">
        <f t="shared" si="277"/>
        <v>0</v>
      </c>
      <c r="CH37" s="231">
        <f t="shared" si="277"/>
        <v>0</v>
      </c>
    </row>
    <row r="38" spans="2:86" ht="9.75" customHeight="1">
      <c r="B38" s="489"/>
      <c r="C38" s="490"/>
      <c r="I38" s="5"/>
      <c r="J38" s="5"/>
      <c r="K38" s="5"/>
      <c r="L38" s="5"/>
      <c r="CH38" s="232"/>
    </row>
    <row r="39" spans="2:86">
      <c r="B39" s="457" t="s">
        <v>46</v>
      </c>
      <c r="C39" s="458"/>
      <c r="D39" s="3">
        <f t="shared" ref="D39:AI39" si="278">D33+D36</f>
        <v>0</v>
      </c>
      <c r="E39" s="3">
        <f t="shared" si="278"/>
        <v>0</v>
      </c>
      <c r="F39" s="3">
        <f t="shared" si="278"/>
        <v>0</v>
      </c>
      <c r="G39" s="3">
        <f t="shared" si="278"/>
        <v>0</v>
      </c>
      <c r="H39" s="3">
        <f t="shared" si="278"/>
        <v>0</v>
      </c>
      <c r="I39" s="3">
        <f t="shared" si="278"/>
        <v>0</v>
      </c>
      <c r="J39" s="3">
        <f t="shared" si="278"/>
        <v>0</v>
      </c>
      <c r="K39" s="3">
        <f t="shared" si="278"/>
        <v>0</v>
      </c>
      <c r="L39" s="3">
        <f t="shared" si="278"/>
        <v>0</v>
      </c>
      <c r="M39" s="3">
        <f t="shared" si="278"/>
        <v>0</v>
      </c>
      <c r="N39" s="3">
        <f t="shared" si="278"/>
        <v>0</v>
      </c>
      <c r="O39" s="3">
        <f t="shared" si="278"/>
        <v>0</v>
      </c>
      <c r="P39" s="3">
        <f t="shared" si="278"/>
        <v>0</v>
      </c>
      <c r="Q39" s="3">
        <f t="shared" si="278"/>
        <v>0</v>
      </c>
      <c r="R39" s="3">
        <f t="shared" si="278"/>
        <v>0</v>
      </c>
      <c r="S39" s="3">
        <f t="shared" si="278"/>
        <v>0</v>
      </c>
      <c r="T39" s="3">
        <f t="shared" si="278"/>
        <v>0</v>
      </c>
      <c r="U39" s="3">
        <f t="shared" si="278"/>
        <v>0</v>
      </c>
      <c r="V39" s="3">
        <f t="shared" si="278"/>
        <v>0</v>
      </c>
      <c r="W39" s="3">
        <f t="shared" si="278"/>
        <v>0</v>
      </c>
      <c r="X39" s="3">
        <f t="shared" si="278"/>
        <v>0</v>
      </c>
      <c r="Y39" s="3">
        <f t="shared" si="278"/>
        <v>0</v>
      </c>
      <c r="Z39" s="3">
        <f t="shared" si="278"/>
        <v>0</v>
      </c>
      <c r="AA39" s="3">
        <f t="shared" si="278"/>
        <v>0</v>
      </c>
      <c r="AB39" s="3">
        <f t="shared" si="278"/>
        <v>0</v>
      </c>
      <c r="AC39" s="3">
        <f t="shared" si="278"/>
        <v>0</v>
      </c>
      <c r="AD39" s="3">
        <f t="shared" si="278"/>
        <v>0</v>
      </c>
      <c r="AE39" s="3">
        <f t="shared" si="278"/>
        <v>0</v>
      </c>
      <c r="AF39" s="3">
        <f t="shared" si="278"/>
        <v>0</v>
      </c>
      <c r="AG39" s="3">
        <f t="shared" si="278"/>
        <v>0</v>
      </c>
      <c r="AH39" s="3">
        <f t="shared" si="278"/>
        <v>0</v>
      </c>
      <c r="AI39" s="3">
        <f t="shared" si="278"/>
        <v>0</v>
      </c>
      <c r="AJ39" s="3">
        <f t="shared" ref="AJ39:BA39" si="279">AJ33+AJ36</f>
        <v>0</v>
      </c>
      <c r="AK39" s="3">
        <f t="shared" si="279"/>
        <v>0</v>
      </c>
      <c r="AL39" s="3">
        <f t="shared" si="279"/>
        <v>0</v>
      </c>
      <c r="AM39" s="3">
        <f t="shared" si="279"/>
        <v>0</v>
      </c>
      <c r="AN39" s="3">
        <f t="shared" si="279"/>
        <v>0</v>
      </c>
      <c r="AO39" s="3">
        <f t="shared" si="279"/>
        <v>0</v>
      </c>
      <c r="AP39" s="3">
        <f t="shared" si="279"/>
        <v>0</v>
      </c>
      <c r="AQ39" s="3">
        <f t="shared" si="279"/>
        <v>0</v>
      </c>
      <c r="AR39" s="3">
        <f t="shared" si="279"/>
        <v>0</v>
      </c>
      <c r="AS39" s="3">
        <f t="shared" si="279"/>
        <v>0</v>
      </c>
      <c r="AT39" s="3">
        <f t="shared" si="279"/>
        <v>0</v>
      </c>
      <c r="AU39" s="3">
        <f t="shared" si="279"/>
        <v>0</v>
      </c>
      <c r="AV39" s="3">
        <f t="shared" si="279"/>
        <v>0</v>
      </c>
      <c r="AW39" s="3">
        <f t="shared" si="279"/>
        <v>0</v>
      </c>
      <c r="AX39" s="3">
        <f t="shared" si="279"/>
        <v>0</v>
      </c>
      <c r="AY39" s="3">
        <f t="shared" si="279"/>
        <v>0</v>
      </c>
      <c r="AZ39" s="3">
        <f t="shared" si="279"/>
        <v>0</v>
      </c>
      <c r="BA39" s="3">
        <f t="shared" si="279"/>
        <v>0</v>
      </c>
      <c r="BB39" s="3">
        <f t="shared" ref="BB39:CH39" si="280">BB33+BB36</f>
        <v>0</v>
      </c>
      <c r="BC39" s="3">
        <f t="shared" si="280"/>
        <v>0</v>
      </c>
      <c r="BD39" s="3">
        <f t="shared" si="280"/>
        <v>0</v>
      </c>
      <c r="BE39" s="3">
        <f t="shared" si="280"/>
        <v>0</v>
      </c>
      <c r="BF39" s="3">
        <f t="shared" si="280"/>
        <v>0</v>
      </c>
      <c r="BG39" s="3">
        <f t="shared" si="280"/>
        <v>0</v>
      </c>
      <c r="BH39" s="3">
        <f t="shared" si="280"/>
        <v>0</v>
      </c>
      <c r="BI39" s="3">
        <f t="shared" si="280"/>
        <v>0</v>
      </c>
      <c r="BJ39" s="3">
        <f t="shared" si="280"/>
        <v>0</v>
      </c>
      <c r="BK39" s="3">
        <f t="shared" si="280"/>
        <v>0</v>
      </c>
      <c r="BL39" s="3">
        <f t="shared" si="280"/>
        <v>0</v>
      </c>
      <c r="BM39" s="3">
        <f t="shared" si="280"/>
        <v>0</v>
      </c>
      <c r="BN39" s="3">
        <f t="shared" si="280"/>
        <v>0</v>
      </c>
      <c r="BO39" s="3">
        <f t="shared" si="280"/>
        <v>0</v>
      </c>
      <c r="BP39" s="3">
        <f t="shared" si="280"/>
        <v>0</v>
      </c>
      <c r="BQ39" s="3">
        <f t="shared" si="280"/>
        <v>0</v>
      </c>
      <c r="BR39" s="3">
        <f t="shared" si="280"/>
        <v>0</v>
      </c>
      <c r="BS39" s="3">
        <f t="shared" si="280"/>
        <v>0</v>
      </c>
      <c r="BT39" s="3">
        <f t="shared" si="280"/>
        <v>0</v>
      </c>
      <c r="BU39" s="3">
        <f t="shared" si="280"/>
        <v>0</v>
      </c>
      <c r="BV39" s="3">
        <f t="shared" si="280"/>
        <v>0</v>
      </c>
      <c r="BW39" s="3">
        <f t="shared" si="280"/>
        <v>0</v>
      </c>
      <c r="BX39" s="3">
        <f t="shared" si="280"/>
        <v>0</v>
      </c>
      <c r="BY39" s="3">
        <f t="shared" si="280"/>
        <v>0</v>
      </c>
      <c r="BZ39" s="3">
        <f t="shared" si="280"/>
        <v>0</v>
      </c>
      <c r="CA39" s="3">
        <f t="shared" si="280"/>
        <v>0</v>
      </c>
      <c r="CB39" s="3">
        <f t="shared" si="280"/>
        <v>0</v>
      </c>
      <c r="CC39" s="3">
        <f t="shared" si="280"/>
        <v>0</v>
      </c>
      <c r="CD39" s="3">
        <f t="shared" si="280"/>
        <v>0</v>
      </c>
      <c r="CE39" s="3">
        <f t="shared" si="280"/>
        <v>0</v>
      </c>
      <c r="CF39" s="3">
        <f t="shared" si="280"/>
        <v>0</v>
      </c>
      <c r="CG39" s="3">
        <f t="shared" si="280"/>
        <v>0</v>
      </c>
      <c r="CH39" s="226">
        <f t="shared" si="280"/>
        <v>0</v>
      </c>
    </row>
    <row r="40" spans="2:86">
      <c r="B40" s="457" t="s">
        <v>63</v>
      </c>
      <c r="C40" s="458"/>
      <c r="D40" s="238"/>
      <c r="E40" s="238"/>
      <c r="F40" s="238"/>
      <c r="G40" s="238"/>
      <c r="H40" s="238"/>
      <c r="I40" s="238"/>
      <c r="J40" s="238"/>
      <c r="K40" s="238"/>
      <c r="L40" s="238"/>
      <c r="M40" s="238"/>
      <c r="N40" s="238"/>
      <c r="O40" s="238"/>
      <c r="P40" s="238"/>
      <c r="Q40" s="238"/>
      <c r="R40" s="238"/>
      <c r="S40" s="238"/>
      <c r="T40" s="238"/>
      <c r="U40" s="238"/>
      <c r="V40" s="238"/>
      <c r="W40" s="238"/>
      <c r="X40" s="238"/>
      <c r="Y40" s="238"/>
      <c r="Z40" s="238"/>
      <c r="AA40" s="238"/>
      <c r="AB40" s="238"/>
      <c r="AC40" s="238"/>
      <c r="AD40" s="238"/>
      <c r="AE40" s="238"/>
      <c r="AF40" s="238"/>
      <c r="AG40" s="238"/>
      <c r="AH40" s="238"/>
      <c r="AI40" s="238"/>
      <c r="AJ40" s="238"/>
      <c r="AK40" s="238"/>
      <c r="AL40" s="238"/>
      <c r="AM40" s="238"/>
      <c r="AN40" s="238"/>
      <c r="AO40" s="238"/>
      <c r="AP40" s="238"/>
      <c r="AQ40" s="238"/>
      <c r="AR40" s="238"/>
      <c r="AS40" s="238"/>
      <c r="AT40" s="238"/>
      <c r="AU40" s="238"/>
      <c r="AV40" s="238"/>
      <c r="AW40" s="238"/>
      <c r="AX40" s="238"/>
      <c r="AY40" s="238"/>
      <c r="AZ40" s="238"/>
      <c r="BA40" s="238"/>
      <c r="BB40" s="238"/>
      <c r="BC40" s="238"/>
      <c r="BD40" s="238"/>
      <c r="BE40" s="238"/>
      <c r="BF40" s="238"/>
      <c r="BG40" s="238"/>
      <c r="BH40" s="238"/>
      <c r="BI40" s="238"/>
      <c r="BJ40" s="238"/>
      <c r="BK40" s="238"/>
      <c r="BL40" s="238"/>
      <c r="BM40" s="238"/>
      <c r="BN40" s="238"/>
      <c r="BO40" s="238"/>
      <c r="BP40" s="238"/>
      <c r="BQ40" s="238"/>
      <c r="BR40" s="238"/>
      <c r="BS40" s="238"/>
      <c r="BT40" s="238"/>
      <c r="BU40" s="238"/>
      <c r="BV40" s="238"/>
      <c r="BW40" s="238"/>
      <c r="BX40" s="238"/>
      <c r="BY40" s="238"/>
      <c r="BZ40" s="238"/>
      <c r="CA40" s="238"/>
      <c r="CB40" s="238"/>
      <c r="CC40" s="238"/>
      <c r="CD40" s="238"/>
      <c r="CE40" s="238"/>
      <c r="CF40" s="238"/>
      <c r="CG40" s="238"/>
      <c r="CH40" s="239"/>
    </row>
    <row r="41" spans="2:86">
      <c r="B41" s="457" t="s">
        <v>48</v>
      </c>
      <c r="C41" s="458"/>
      <c r="D41" s="3">
        <f t="shared" ref="D41:F41" si="281">MAX(D32-D36-D40,0)</f>
        <v>0</v>
      </c>
      <c r="E41" s="3">
        <f t="shared" si="281"/>
        <v>0</v>
      </c>
      <c r="F41" s="3">
        <f t="shared" si="281"/>
        <v>0</v>
      </c>
      <c r="G41" s="3">
        <f t="shared" ref="G41" si="282">MAX(G32-G36-G40,0)</f>
        <v>0</v>
      </c>
      <c r="H41" s="3">
        <f t="shared" ref="H41" si="283">MAX(H32-H36-H40,0)</f>
        <v>0</v>
      </c>
      <c r="I41" s="3">
        <f t="shared" ref="I41" si="284">MAX(I32-I36-I40,0)</f>
        <v>0</v>
      </c>
      <c r="J41" s="3">
        <f t="shared" ref="J41" si="285">MAX(J32-J36-J40,0)</f>
        <v>0</v>
      </c>
      <c r="K41" s="3">
        <f t="shared" ref="K41" si="286">MAX(K32-K36-K40,0)</f>
        <v>0</v>
      </c>
      <c r="L41" s="3">
        <f t="shared" ref="L41" si="287">MAX(L32-L36-L40,0)</f>
        <v>0</v>
      </c>
      <c r="M41" s="3">
        <f t="shared" ref="M41" si="288">MAX(M32-M36-M40,0)</f>
        <v>0</v>
      </c>
      <c r="N41" s="3">
        <f t="shared" ref="N41" si="289">MAX(N32-N36-N40,0)</f>
        <v>0</v>
      </c>
      <c r="O41" s="3">
        <f t="shared" ref="O41" si="290">MAX(O32-O36-O40,0)</f>
        <v>0</v>
      </c>
      <c r="P41" s="3">
        <f t="shared" ref="P41" si="291">MAX(P32-P36-P40,0)</f>
        <v>0</v>
      </c>
      <c r="Q41" s="3">
        <f t="shared" ref="Q41" si="292">MAX(Q32-Q36-Q40,0)</f>
        <v>0</v>
      </c>
      <c r="R41" s="3">
        <f t="shared" ref="R41" si="293">MAX(R32-R36-R40,0)</f>
        <v>0</v>
      </c>
      <c r="S41" s="3">
        <f t="shared" ref="S41" si="294">MAX(S32-S36-S40,0)</f>
        <v>0</v>
      </c>
      <c r="T41" s="3">
        <f t="shared" ref="T41" si="295">MAX(T32-T36-T40,0)</f>
        <v>0</v>
      </c>
      <c r="U41" s="3">
        <f t="shared" ref="U41" si="296">MAX(U32-U36-U40,0)</f>
        <v>0</v>
      </c>
      <c r="V41" s="3">
        <f t="shared" ref="V41" si="297">MAX(V32-V36-V40,0)</f>
        <v>0</v>
      </c>
      <c r="W41" s="3">
        <f t="shared" ref="W41" si="298">MAX(W32-W36-W40,0)</f>
        <v>0</v>
      </c>
      <c r="X41" s="3">
        <f t="shared" ref="X41" si="299">MAX(X32-X36-X40,0)</f>
        <v>0</v>
      </c>
      <c r="Y41" s="3">
        <f t="shared" ref="Y41" si="300">MAX(Y32-Y36-Y40,0)</f>
        <v>0</v>
      </c>
      <c r="Z41" s="3">
        <f t="shared" ref="Z41" si="301">MAX(Z32-Z36-Z40,0)</f>
        <v>0</v>
      </c>
      <c r="AA41" s="3">
        <f t="shared" ref="AA41" si="302">MAX(AA32-AA36-AA40,0)</f>
        <v>0</v>
      </c>
      <c r="AB41" s="3">
        <f t="shared" ref="AB41" si="303">MAX(AB32-AB36-AB40,0)</f>
        <v>0</v>
      </c>
      <c r="AC41" s="3">
        <f t="shared" ref="AC41" si="304">MAX(AC32-AC36-AC40,0)</f>
        <v>0</v>
      </c>
      <c r="AD41" s="3">
        <f t="shared" ref="AD41" si="305">MAX(AD32-AD36-AD40,0)</f>
        <v>0</v>
      </c>
      <c r="AE41" s="3">
        <f t="shared" ref="AE41" si="306">MAX(AE32-AE36-AE40,0)</f>
        <v>0</v>
      </c>
      <c r="AF41" s="3">
        <f t="shared" ref="AF41" si="307">MAX(AF32-AF36-AF40,0)</f>
        <v>0</v>
      </c>
      <c r="AG41" s="3">
        <f t="shared" ref="AG41" si="308">MAX(AG32-AG36-AG40,0)</f>
        <v>0</v>
      </c>
      <c r="AH41" s="3">
        <f t="shared" ref="AH41" si="309">MAX(AH32-AH36-AH40,0)</f>
        <v>0</v>
      </c>
      <c r="AI41" s="3">
        <f t="shared" ref="AI41" si="310">MAX(AI32-AI36-AI40,0)</f>
        <v>0</v>
      </c>
      <c r="AJ41" s="3">
        <f t="shared" ref="AJ41" si="311">MAX(AJ32-AJ36-AJ40,0)</f>
        <v>0</v>
      </c>
      <c r="AK41" s="3">
        <f t="shared" ref="AK41" si="312">MAX(AK32-AK36-AK40,0)</f>
        <v>0</v>
      </c>
      <c r="AL41" s="3">
        <f t="shared" ref="AL41" si="313">MAX(AL32-AL36-AL40,0)</f>
        <v>0</v>
      </c>
      <c r="AM41" s="3">
        <f t="shared" ref="AM41" si="314">MAX(AM32-AM36-AM40,0)</f>
        <v>0</v>
      </c>
      <c r="AN41" s="3">
        <f t="shared" ref="AN41" si="315">MAX(AN32-AN36-AN40,0)</f>
        <v>0</v>
      </c>
      <c r="AO41" s="3">
        <f t="shared" ref="AO41" si="316">MAX(AO32-AO36-AO40,0)</f>
        <v>0</v>
      </c>
      <c r="AP41" s="3">
        <f t="shared" ref="AP41" si="317">MAX(AP32-AP36-AP40,0)</f>
        <v>0</v>
      </c>
      <c r="AQ41" s="3">
        <f t="shared" ref="AQ41" si="318">MAX(AQ32-AQ36-AQ40,0)</f>
        <v>0</v>
      </c>
      <c r="AR41" s="3">
        <f t="shared" ref="AR41" si="319">MAX(AR32-AR36-AR40,0)</f>
        <v>0</v>
      </c>
      <c r="AS41" s="3">
        <f t="shared" ref="AS41" si="320">MAX(AS32-AS36-AS40,0)</f>
        <v>0</v>
      </c>
      <c r="AT41" s="3">
        <f t="shared" ref="AT41" si="321">MAX(AT32-AT36-AT40,0)</f>
        <v>0</v>
      </c>
      <c r="AU41" s="3">
        <f t="shared" ref="AU41" si="322">MAX(AU32-AU36-AU40,0)</f>
        <v>0</v>
      </c>
      <c r="AV41" s="3">
        <f t="shared" ref="AV41" si="323">MAX(AV32-AV36-AV40,0)</f>
        <v>0</v>
      </c>
      <c r="AW41" s="3">
        <f t="shared" ref="AW41" si="324">MAX(AW32-AW36-AW40,0)</f>
        <v>0</v>
      </c>
      <c r="AX41" s="3">
        <f t="shared" ref="AX41" si="325">MAX(AX32-AX36-AX40,0)</f>
        <v>0</v>
      </c>
      <c r="AY41" s="3">
        <f t="shared" ref="AY41" si="326">MAX(AY32-AY36-AY40,0)</f>
        <v>0</v>
      </c>
      <c r="AZ41" s="3">
        <f t="shared" ref="AZ41:CH41" si="327">MAX(AZ32-AZ36-AZ40,0)</f>
        <v>0</v>
      </c>
      <c r="BA41" s="3">
        <f t="shared" ref="BA41:CG41" si="328">MAX(BA32-BA36-BA40,0)</f>
        <v>0</v>
      </c>
      <c r="BB41" s="3">
        <f t="shared" si="327"/>
        <v>0</v>
      </c>
      <c r="BC41" s="3">
        <f t="shared" si="328"/>
        <v>0</v>
      </c>
      <c r="BD41" s="3">
        <f t="shared" si="327"/>
        <v>0</v>
      </c>
      <c r="BE41" s="3">
        <f t="shared" si="328"/>
        <v>0</v>
      </c>
      <c r="BF41" s="3">
        <f t="shared" si="327"/>
        <v>0</v>
      </c>
      <c r="BG41" s="3">
        <f t="shared" si="328"/>
        <v>0</v>
      </c>
      <c r="BH41" s="3">
        <f t="shared" si="327"/>
        <v>0</v>
      </c>
      <c r="BI41" s="3">
        <f t="shared" si="328"/>
        <v>0</v>
      </c>
      <c r="BJ41" s="3">
        <f t="shared" si="327"/>
        <v>0</v>
      </c>
      <c r="BK41" s="3">
        <f t="shared" si="328"/>
        <v>0</v>
      </c>
      <c r="BL41" s="3">
        <f t="shared" si="327"/>
        <v>0</v>
      </c>
      <c r="BM41" s="3">
        <f t="shared" si="328"/>
        <v>0</v>
      </c>
      <c r="BN41" s="3">
        <f t="shared" si="327"/>
        <v>0</v>
      </c>
      <c r="BO41" s="3">
        <f t="shared" si="328"/>
        <v>0</v>
      </c>
      <c r="BP41" s="3">
        <f t="shared" si="327"/>
        <v>0</v>
      </c>
      <c r="BQ41" s="3">
        <f t="shared" si="328"/>
        <v>0</v>
      </c>
      <c r="BR41" s="3">
        <f t="shared" si="327"/>
        <v>0</v>
      </c>
      <c r="BS41" s="3">
        <f t="shared" si="328"/>
        <v>0</v>
      </c>
      <c r="BT41" s="3">
        <f t="shared" si="327"/>
        <v>0</v>
      </c>
      <c r="BU41" s="3">
        <f t="shared" si="328"/>
        <v>0</v>
      </c>
      <c r="BV41" s="3">
        <f t="shared" si="327"/>
        <v>0</v>
      </c>
      <c r="BW41" s="3">
        <f t="shared" si="328"/>
        <v>0</v>
      </c>
      <c r="BX41" s="3">
        <f t="shared" si="327"/>
        <v>0</v>
      </c>
      <c r="BY41" s="3">
        <f t="shared" si="328"/>
        <v>0</v>
      </c>
      <c r="BZ41" s="3">
        <f t="shared" si="327"/>
        <v>0</v>
      </c>
      <c r="CA41" s="3">
        <f t="shared" si="328"/>
        <v>0</v>
      </c>
      <c r="CB41" s="3">
        <f t="shared" si="327"/>
        <v>0</v>
      </c>
      <c r="CC41" s="3">
        <f t="shared" si="328"/>
        <v>0</v>
      </c>
      <c r="CD41" s="3">
        <f t="shared" si="327"/>
        <v>0</v>
      </c>
      <c r="CE41" s="3">
        <f t="shared" si="328"/>
        <v>0</v>
      </c>
      <c r="CF41" s="3">
        <f t="shared" si="327"/>
        <v>0</v>
      </c>
      <c r="CG41" s="3">
        <f t="shared" si="328"/>
        <v>0</v>
      </c>
      <c r="CH41" s="226">
        <f t="shared" si="327"/>
        <v>0</v>
      </c>
    </row>
    <row r="42" spans="2:86" ht="16" thickBot="1">
      <c r="B42" s="462" t="s">
        <v>26</v>
      </c>
      <c r="C42" s="463"/>
      <c r="D42" s="233">
        <f>D39/12</f>
        <v>0</v>
      </c>
      <c r="E42" s="233">
        <f t="shared" ref="E42:BA42" si="329">E39/12</f>
        <v>0</v>
      </c>
      <c r="F42" s="233">
        <f t="shared" si="329"/>
        <v>0</v>
      </c>
      <c r="G42" s="233">
        <f t="shared" si="329"/>
        <v>0</v>
      </c>
      <c r="H42" s="233">
        <f t="shared" si="329"/>
        <v>0</v>
      </c>
      <c r="I42" s="233">
        <f t="shared" si="329"/>
        <v>0</v>
      </c>
      <c r="J42" s="233">
        <f t="shared" si="329"/>
        <v>0</v>
      </c>
      <c r="K42" s="233">
        <f t="shared" si="329"/>
        <v>0</v>
      </c>
      <c r="L42" s="233">
        <f t="shared" si="329"/>
        <v>0</v>
      </c>
      <c r="M42" s="233">
        <f t="shared" si="329"/>
        <v>0</v>
      </c>
      <c r="N42" s="233">
        <f t="shared" si="329"/>
        <v>0</v>
      </c>
      <c r="O42" s="233">
        <f t="shared" si="329"/>
        <v>0</v>
      </c>
      <c r="P42" s="233">
        <f t="shared" si="329"/>
        <v>0</v>
      </c>
      <c r="Q42" s="233">
        <f t="shared" si="329"/>
        <v>0</v>
      </c>
      <c r="R42" s="233">
        <f t="shared" si="329"/>
        <v>0</v>
      </c>
      <c r="S42" s="233">
        <f t="shared" si="329"/>
        <v>0</v>
      </c>
      <c r="T42" s="233">
        <f t="shared" si="329"/>
        <v>0</v>
      </c>
      <c r="U42" s="233">
        <f t="shared" si="329"/>
        <v>0</v>
      </c>
      <c r="V42" s="233">
        <f t="shared" si="329"/>
        <v>0</v>
      </c>
      <c r="W42" s="233">
        <f t="shared" si="329"/>
        <v>0</v>
      </c>
      <c r="X42" s="233">
        <f t="shared" si="329"/>
        <v>0</v>
      </c>
      <c r="Y42" s="233">
        <f t="shared" si="329"/>
        <v>0</v>
      </c>
      <c r="Z42" s="233">
        <f t="shared" si="329"/>
        <v>0</v>
      </c>
      <c r="AA42" s="233">
        <f t="shared" si="329"/>
        <v>0</v>
      </c>
      <c r="AB42" s="233">
        <f t="shared" si="329"/>
        <v>0</v>
      </c>
      <c r="AC42" s="233">
        <f t="shared" si="329"/>
        <v>0</v>
      </c>
      <c r="AD42" s="233">
        <f t="shared" si="329"/>
        <v>0</v>
      </c>
      <c r="AE42" s="233">
        <f t="shared" si="329"/>
        <v>0</v>
      </c>
      <c r="AF42" s="233">
        <f t="shared" si="329"/>
        <v>0</v>
      </c>
      <c r="AG42" s="233">
        <f t="shared" si="329"/>
        <v>0</v>
      </c>
      <c r="AH42" s="233">
        <f t="shared" si="329"/>
        <v>0</v>
      </c>
      <c r="AI42" s="233">
        <f t="shared" si="329"/>
        <v>0</v>
      </c>
      <c r="AJ42" s="233">
        <f t="shared" si="329"/>
        <v>0</v>
      </c>
      <c r="AK42" s="233">
        <f t="shared" si="329"/>
        <v>0</v>
      </c>
      <c r="AL42" s="233">
        <f t="shared" si="329"/>
        <v>0</v>
      </c>
      <c r="AM42" s="233">
        <f t="shared" si="329"/>
        <v>0</v>
      </c>
      <c r="AN42" s="233">
        <f t="shared" si="329"/>
        <v>0</v>
      </c>
      <c r="AO42" s="233">
        <f t="shared" si="329"/>
        <v>0</v>
      </c>
      <c r="AP42" s="233">
        <f t="shared" si="329"/>
        <v>0</v>
      </c>
      <c r="AQ42" s="233">
        <f t="shared" si="329"/>
        <v>0</v>
      </c>
      <c r="AR42" s="233">
        <f t="shared" si="329"/>
        <v>0</v>
      </c>
      <c r="AS42" s="233">
        <f t="shared" si="329"/>
        <v>0</v>
      </c>
      <c r="AT42" s="233">
        <f t="shared" si="329"/>
        <v>0</v>
      </c>
      <c r="AU42" s="233">
        <f t="shared" si="329"/>
        <v>0</v>
      </c>
      <c r="AV42" s="233">
        <f t="shared" si="329"/>
        <v>0</v>
      </c>
      <c r="AW42" s="233">
        <f t="shared" si="329"/>
        <v>0</v>
      </c>
      <c r="AX42" s="233">
        <f t="shared" si="329"/>
        <v>0</v>
      </c>
      <c r="AY42" s="233">
        <f t="shared" si="329"/>
        <v>0</v>
      </c>
      <c r="AZ42" s="233">
        <f t="shared" si="329"/>
        <v>0</v>
      </c>
      <c r="BA42" s="233">
        <f t="shared" si="329"/>
        <v>0</v>
      </c>
      <c r="BB42" s="233">
        <f t="shared" ref="BB42:CH42" si="330">BB39/12</f>
        <v>0</v>
      </c>
      <c r="BC42" s="233">
        <f t="shared" si="330"/>
        <v>0</v>
      </c>
      <c r="BD42" s="233">
        <f t="shared" si="330"/>
        <v>0</v>
      </c>
      <c r="BE42" s="233">
        <f t="shared" si="330"/>
        <v>0</v>
      </c>
      <c r="BF42" s="233">
        <f t="shared" si="330"/>
        <v>0</v>
      </c>
      <c r="BG42" s="233">
        <f t="shared" si="330"/>
        <v>0</v>
      </c>
      <c r="BH42" s="233">
        <f t="shared" si="330"/>
        <v>0</v>
      </c>
      <c r="BI42" s="233">
        <f t="shared" si="330"/>
        <v>0</v>
      </c>
      <c r="BJ42" s="233">
        <f t="shared" si="330"/>
        <v>0</v>
      </c>
      <c r="BK42" s="233">
        <f t="shared" si="330"/>
        <v>0</v>
      </c>
      <c r="BL42" s="233">
        <f t="shared" si="330"/>
        <v>0</v>
      </c>
      <c r="BM42" s="233">
        <f t="shared" si="330"/>
        <v>0</v>
      </c>
      <c r="BN42" s="233">
        <f t="shared" si="330"/>
        <v>0</v>
      </c>
      <c r="BO42" s="233">
        <f t="shared" si="330"/>
        <v>0</v>
      </c>
      <c r="BP42" s="233">
        <f t="shared" si="330"/>
        <v>0</v>
      </c>
      <c r="BQ42" s="233">
        <f t="shared" si="330"/>
        <v>0</v>
      </c>
      <c r="BR42" s="233">
        <f t="shared" si="330"/>
        <v>0</v>
      </c>
      <c r="BS42" s="233">
        <f t="shared" si="330"/>
        <v>0</v>
      </c>
      <c r="BT42" s="233">
        <f t="shared" si="330"/>
        <v>0</v>
      </c>
      <c r="BU42" s="233">
        <f t="shared" si="330"/>
        <v>0</v>
      </c>
      <c r="BV42" s="233">
        <f t="shared" si="330"/>
        <v>0</v>
      </c>
      <c r="BW42" s="233">
        <f t="shared" si="330"/>
        <v>0</v>
      </c>
      <c r="BX42" s="233">
        <f t="shared" si="330"/>
        <v>0</v>
      </c>
      <c r="BY42" s="233">
        <f t="shared" si="330"/>
        <v>0</v>
      </c>
      <c r="BZ42" s="233">
        <f t="shared" si="330"/>
        <v>0</v>
      </c>
      <c r="CA42" s="233">
        <f t="shared" si="330"/>
        <v>0</v>
      </c>
      <c r="CB42" s="233">
        <f t="shared" si="330"/>
        <v>0</v>
      </c>
      <c r="CC42" s="233">
        <f t="shared" si="330"/>
        <v>0</v>
      </c>
      <c r="CD42" s="233">
        <f t="shared" si="330"/>
        <v>0</v>
      </c>
      <c r="CE42" s="233">
        <f t="shared" si="330"/>
        <v>0</v>
      </c>
      <c r="CF42" s="233">
        <f t="shared" si="330"/>
        <v>0</v>
      </c>
      <c r="CG42" s="233">
        <f t="shared" si="330"/>
        <v>0</v>
      </c>
      <c r="CH42" s="234">
        <f t="shared" si="330"/>
        <v>0</v>
      </c>
    </row>
    <row r="43" spans="2:86" ht="16" thickBot="1">
      <c r="I43" s="5"/>
      <c r="J43" s="5"/>
      <c r="K43" s="5"/>
      <c r="L43" s="5"/>
    </row>
    <row r="44" spans="2:86" ht="17" thickBot="1">
      <c r="B44" s="211" t="s">
        <v>27</v>
      </c>
      <c r="C44" s="32"/>
      <c r="I44" s="5"/>
      <c r="J44" s="5"/>
      <c r="K44" s="5"/>
      <c r="L44" s="5"/>
    </row>
    <row r="45" spans="2:86" ht="16" thickBot="1">
      <c r="B45" s="214" t="s">
        <v>47</v>
      </c>
      <c r="C45" s="215"/>
      <c r="D45" s="216">
        <f ca="1">D$13</f>
        <v>2024</v>
      </c>
      <c r="E45" s="217">
        <f t="shared" ref="E45:BP45" ca="1" si="331">E$13</f>
        <v>2025</v>
      </c>
      <c r="F45" s="217">
        <f t="shared" ca="1" si="331"/>
        <v>2026</v>
      </c>
      <c r="G45" s="217">
        <f t="shared" ca="1" si="331"/>
        <v>2027</v>
      </c>
      <c r="H45" s="217">
        <f t="shared" ca="1" si="331"/>
        <v>2028</v>
      </c>
      <c r="I45" s="217">
        <f t="shared" ca="1" si="331"/>
        <v>2029</v>
      </c>
      <c r="J45" s="217">
        <f t="shared" ca="1" si="331"/>
        <v>2030</v>
      </c>
      <c r="K45" s="217">
        <f t="shared" ca="1" si="331"/>
        <v>2031</v>
      </c>
      <c r="L45" s="217">
        <f t="shared" ca="1" si="331"/>
        <v>2032</v>
      </c>
      <c r="M45" s="217">
        <f t="shared" ca="1" si="331"/>
        <v>2033</v>
      </c>
      <c r="N45" s="217">
        <f t="shared" ca="1" si="331"/>
        <v>2034</v>
      </c>
      <c r="O45" s="217">
        <f t="shared" ca="1" si="331"/>
        <v>2035</v>
      </c>
      <c r="P45" s="217">
        <f t="shared" ca="1" si="331"/>
        <v>2036</v>
      </c>
      <c r="Q45" s="217">
        <f t="shared" ca="1" si="331"/>
        <v>2037</v>
      </c>
      <c r="R45" s="217">
        <f t="shared" ca="1" si="331"/>
        <v>2038</v>
      </c>
      <c r="S45" s="217">
        <f t="shared" ca="1" si="331"/>
        <v>2039</v>
      </c>
      <c r="T45" s="217">
        <f t="shared" ca="1" si="331"/>
        <v>2040</v>
      </c>
      <c r="U45" s="217">
        <f t="shared" ca="1" si="331"/>
        <v>2041</v>
      </c>
      <c r="V45" s="217">
        <f t="shared" ca="1" si="331"/>
        <v>2042</v>
      </c>
      <c r="W45" s="217">
        <f t="shared" ca="1" si="331"/>
        <v>2043</v>
      </c>
      <c r="X45" s="217">
        <f t="shared" ca="1" si="331"/>
        <v>2044</v>
      </c>
      <c r="Y45" s="217">
        <f t="shared" ca="1" si="331"/>
        <v>2045</v>
      </c>
      <c r="Z45" s="217">
        <f t="shared" ca="1" si="331"/>
        <v>2046</v>
      </c>
      <c r="AA45" s="217">
        <f t="shared" ca="1" si="331"/>
        <v>2047</v>
      </c>
      <c r="AB45" s="217">
        <f t="shared" ca="1" si="331"/>
        <v>2048</v>
      </c>
      <c r="AC45" s="217">
        <f t="shared" ca="1" si="331"/>
        <v>2049</v>
      </c>
      <c r="AD45" s="217">
        <f t="shared" ca="1" si="331"/>
        <v>2050</v>
      </c>
      <c r="AE45" s="217">
        <f t="shared" ca="1" si="331"/>
        <v>2051</v>
      </c>
      <c r="AF45" s="217">
        <f t="shared" ca="1" si="331"/>
        <v>2052</v>
      </c>
      <c r="AG45" s="217">
        <f t="shared" ca="1" si="331"/>
        <v>2053</v>
      </c>
      <c r="AH45" s="217">
        <f t="shared" ca="1" si="331"/>
        <v>2054</v>
      </c>
      <c r="AI45" s="217">
        <f t="shared" ca="1" si="331"/>
        <v>2055</v>
      </c>
      <c r="AJ45" s="217">
        <f t="shared" ca="1" si="331"/>
        <v>2056</v>
      </c>
      <c r="AK45" s="217">
        <f t="shared" ca="1" si="331"/>
        <v>2057</v>
      </c>
      <c r="AL45" s="217">
        <f t="shared" ca="1" si="331"/>
        <v>2058</v>
      </c>
      <c r="AM45" s="217">
        <f t="shared" ca="1" si="331"/>
        <v>2059</v>
      </c>
      <c r="AN45" s="217">
        <f t="shared" ca="1" si="331"/>
        <v>2060</v>
      </c>
      <c r="AO45" s="217">
        <f t="shared" ca="1" si="331"/>
        <v>2061</v>
      </c>
      <c r="AP45" s="217">
        <f t="shared" ca="1" si="331"/>
        <v>2062</v>
      </c>
      <c r="AQ45" s="217">
        <f t="shared" ca="1" si="331"/>
        <v>2063</v>
      </c>
      <c r="AR45" s="217">
        <f t="shared" ca="1" si="331"/>
        <v>2064</v>
      </c>
      <c r="AS45" s="217">
        <f t="shared" ca="1" si="331"/>
        <v>2065</v>
      </c>
      <c r="AT45" s="217">
        <f t="shared" ca="1" si="331"/>
        <v>2066</v>
      </c>
      <c r="AU45" s="217">
        <f t="shared" ca="1" si="331"/>
        <v>2067</v>
      </c>
      <c r="AV45" s="217">
        <f t="shared" ca="1" si="331"/>
        <v>2068</v>
      </c>
      <c r="AW45" s="217">
        <f t="shared" ca="1" si="331"/>
        <v>2069</v>
      </c>
      <c r="AX45" s="217">
        <f t="shared" ca="1" si="331"/>
        <v>2070</v>
      </c>
      <c r="AY45" s="217">
        <f t="shared" ca="1" si="331"/>
        <v>2071</v>
      </c>
      <c r="AZ45" s="217">
        <f t="shared" ca="1" si="331"/>
        <v>2072</v>
      </c>
      <c r="BA45" s="217">
        <f t="shared" ca="1" si="331"/>
        <v>2073</v>
      </c>
      <c r="BB45" s="217">
        <f t="shared" ca="1" si="331"/>
        <v>2074</v>
      </c>
      <c r="BC45" s="217">
        <f t="shared" ca="1" si="331"/>
        <v>2075</v>
      </c>
      <c r="BD45" s="217">
        <f t="shared" ca="1" si="331"/>
        <v>2076</v>
      </c>
      <c r="BE45" s="217">
        <f t="shared" ca="1" si="331"/>
        <v>2077</v>
      </c>
      <c r="BF45" s="217">
        <f t="shared" ca="1" si="331"/>
        <v>2078</v>
      </c>
      <c r="BG45" s="217">
        <f t="shared" ca="1" si="331"/>
        <v>2079</v>
      </c>
      <c r="BH45" s="217">
        <f t="shared" ca="1" si="331"/>
        <v>2080</v>
      </c>
      <c r="BI45" s="217">
        <f t="shared" ca="1" si="331"/>
        <v>2081</v>
      </c>
      <c r="BJ45" s="217">
        <f t="shared" ca="1" si="331"/>
        <v>2082</v>
      </c>
      <c r="BK45" s="217">
        <f t="shared" ca="1" si="331"/>
        <v>2083</v>
      </c>
      <c r="BL45" s="217">
        <f t="shared" ca="1" si="331"/>
        <v>2084</v>
      </c>
      <c r="BM45" s="217">
        <f t="shared" ca="1" si="331"/>
        <v>2085</v>
      </c>
      <c r="BN45" s="217">
        <f t="shared" ca="1" si="331"/>
        <v>2086</v>
      </c>
      <c r="BO45" s="217">
        <f t="shared" ca="1" si="331"/>
        <v>2087</v>
      </c>
      <c r="BP45" s="217">
        <f t="shared" ca="1" si="331"/>
        <v>2088</v>
      </c>
      <c r="BQ45" s="217">
        <f t="shared" ref="BQ45:CH45" ca="1" si="332">BQ$13</f>
        <v>2089</v>
      </c>
      <c r="BR45" s="217">
        <f t="shared" ca="1" si="332"/>
        <v>2090</v>
      </c>
      <c r="BS45" s="217">
        <f t="shared" ca="1" si="332"/>
        <v>2091</v>
      </c>
      <c r="BT45" s="217">
        <f t="shared" ca="1" si="332"/>
        <v>2092</v>
      </c>
      <c r="BU45" s="217">
        <f t="shared" ca="1" si="332"/>
        <v>2093</v>
      </c>
      <c r="BV45" s="217">
        <f t="shared" ca="1" si="332"/>
        <v>2094</v>
      </c>
      <c r="BW45" s="217">
        <f t="shared" ca="1" si="332"/>
        <v>2095</v>
      </c>
      <c r="BX45" s="217">
        <f t="shared" ca="1" si="332"/>
        <v>2096</v>
      </c>
      <c r="BY45" s="217">
        <f t="shared" ca="1" si="332"/>
        <v>2097</v>
      </c>
      <c r="BZ45" s="217">
        <f t="shared" ca="1" si="332"/>
        <v>2098</v>
      </c>
      <c r="CA45" s="217">
        <f t="shared" ca="1" si="332"/>
        <v>2099</v>
      </c>
      <c r="CB45" s="217">
        <f t="shared" ca="1" si="332"/>
        <v>2100</v>
      </c>
      <c r="CC45" s="217">
        <f t="shared" ca="1" si="332"/>
        <v>2101</v>
      </c>
      <c r="CD45" s="217">
        <f t="shared" ca="1" si="332"/>
        <v>2102</v>
      </c>
      <c r="CE45" s="217">
        <f t="shared" ca="1" si="332"/>
        <v>2103</v>
      </c>
      <c r="CF45" s="217">
        <f t="shared" ca="1" si="332"/>
        <v>2104</v>
      </c>
      <c r="CG45" s="217">
        <f t="shared" ca="1" si="332"/>
        <v>2105</v>
      </c>
      <c r="CH45" s="218">
        <f t="shared" ca="1" si="332"/>
        <v>2106</v>
      </c>
    </row>
    <row r="46" spans="2:86">
      <c r="B46" s="487" t="s">
        <v>49</v>
      </c>
      <c r="C46" s="488"/>
      <c r="D46" s="230"/>
      <c r="E46" s="240"/>
      <c r="F46" s="241"/>
      <c r="G46" s="241"/>
      <c r="H46" s="241"/>
      <c r="I46" s="241"/>
      <c r="J46" s="241"/>
      <c r="K46" s="241"/>
      <c r="L46" s="241"/>
      <c r="M46" s="241"/>
      <c r="N46" s="241"/>
      <c r="O46" s="241"/>
      <c r="P46" s="241"/>
      <c r="Q46" s="241"/>
      <c r="R46" s="241"/>
      <c r="S46" s="241"/>
      <c r="T46" s="241"/>
      <c r="U46" s="241"/>
      <c r="V46" s="241"/>
      <c r="W46" s="241"/>
      <c r="X46" s="241"/>
      <c r="Y46" s="241"/>
      <c r="Z46" s="241"/>
      <c r="AA46" s="241"/>
      <c r="AB46" s="241"/>
      <c r="AC46" s="241"/>
      <c r="AD46" s="241"/>
      <c r="AE46" s="241"/>
      <c r="AF46" s="241"/>
      <c r="AG46" s="241"/>
      <c r="AH46" s="241"/>
      <c r="AI46" s="241"/>
      <c r="AJ46" s="241"/>
      <c r="AK46" s="241"/>
      <c r="AL46" s="241"/>
      <c r="AM46" s="241"/>
      <c r="AN46" s="241"/>
      <c r="AO46" s="241"/>
      <c r="AP46" s="241"/>
      <c r="AQ46" s="241"/>
      <c r="AR46" s="241"/>
      <c r="AS46" s="241"/>
      <c r="AT46" s="241"/>
      <c r="AU46" s="241"/>
      <c r="AV46" s="241"/>
      <c r="AW46" s="241"/>
      <c r="AX46" s="241"/>
      <c r="AY46" s="241"/>
      <c r="AZ46" s="241"/>
      <c r="BA46" s="241"/>
      <c r="BB46" s="241"/>
      <c r="BC46" s="241"/>
      <c r="BD46" s="241"/>
      <c r="BE46" s="241"/>
      <c r="BF46" s="241"/>
      <c r="BG46" s="241"/>
      <c r="BH46" s="241"/>
      <c r="BI46" s="241"/>
      <c r="BJ46" s="241"/>
      <c r="BK46" s="241"/>
      <c r="BL46" s="241"/>
      <c r="BM46" s="241"/>
      <c r="BN46" s="241"/>
      <c r="BO46" s="241"/>
      <c r="BP46" s="241"/>
      <c r="BQ46" s="241"/>
      <c r="BR46" s="241"/>
      <c r="BS46" s="241"/>
      <c r="BT46" s="241"/>
      <c r="BU46" s="241"/>
      <c r="BV46" s="241"/>
      <c r="BW46" s="241"/>
      <c r="BX46" s="241"/>
      <c r="BY46" s="241"/>
      <c r="BZ46" s="241"/>
      <c r="CA46" s="241"/>
      <c r="CB46" s="241"/>
      <c r="CC46" s="241"/>
      <c r="CD46" s="241"/>
      <c r="CE46" s="241"/>
      <c r="CF46" s="241"/>
      <c r="CG46" s="241"/>
      <c r="CH46" s="242"/>
    </row>
    <row r="47" spans="2:86">
      <c r="B47" s="457" t="s">
        <v>50</v>
      </c>
      <c r="C47" s="458"/>
      <c r="D47" s="31">
        <f>Cockpit!N25</f>
        <v>0</v>
      </c>
      <c r="E47" s="31">
        <f t="shared" ref="E47" si="333">IF(E46&lt;&gt;"",E46,D47)</f>
        <v>0</v>
      </c>
      <c r="F47" s="31">
        <f t="shared" ref="F47" si="334">IF(F46&lt;&gt;"",F46,E47)</f>
        <v>0</v>
      </c>
      <c r="G47" s="31">
        <f t="shared" ref="G47" si="335">IF(G46&lt;&gt;"",G46,F47)</f>
        <v>0</v>
      </c>
      <c r="H47" s="31">
        <f t="shared" ref="H47" si="336">IF(H46&lt;&gt;"",H46,G47)</f>
        <v>0</v>
      </c>
      <c r="I47" s="31">
        <f t="shared" ref="I47" si="337">IF(I46&lt;&gt;"",I46,H47)</f>
        <v>0</v>
      </c>
      <c r="J47" s="31">
        <f t="shared" ref="J47" si="338">IF(J46&lt;&gt;"",J46,I47)</f>
        <v>0</v>
      </c>
      <c r="K47" s="31">
        <f t="shared" ref="K47" si="339">IF(K46&lt;&gt;"",K46,J47)</f>
        <v>0</v>
      </c>
      <c r="L47" s="31">
        <f t="shared" ref="L47" si="340">IF(L46&lt;&gt;"",L46,K47)</f>
        <v>0</v>
      </c>
      <c r="M47" s="31">
        <f t="shared" ref="M47" si="341">IF(M46&lt;&gt;"",M46,L47)</f>
        <v>0</v>
      </c>
      <c r="N47" s="31">
        <f t="shared" ref="N47" si="342">IF(N46&lt;&gt;"",N46,M47)</f>
        <v>0</v>
      </c>
      <c r="O47" s="31">
        <f t="shared" ref="O47" si="343">IF(O46&lt;&gt;"",O46,N47)</f>
        <v>0</v>
      </c>
      <c r="P47" s="31">
        <f t="shared" ref="P47" si="344">IF(P46&lt;&gt;"",P46,O47)</f>
        <v>0</v>
      </c>
      <c r="Q47" s="31">
        <f t="shared" ref="Q47" si="345">IF(Q46&lt;&gt;"",Q46,P47)</f>
        <v>0</v>
      </c>
      <c r="R47" s="31">
        <f t="shared" ref="R47" si="346">IF(R46&lt;&gt;"",R46,Q47)</f>
        <v>0</v>
      </c>
      <c r="S47" s="31">
        <f t="shared" ref="S47" si="347">IF(S46&lt;&gt;"",S46,R47)</f>
        <v>0</v>
      </c>
      <c r="T47" s="31">
        <f t="shared" ref="T47" si="348">IF(T46&lt;&gt;"",T46,S47)</f>
        <v>0</v>
      </c>
      <c r="U47" s="31">
        <f t="shared" ref="U47" si="349">IF(U46&lt;&gt;"",U46,T47)</f>
        <v>0</v>
      </c>
      <c r="V47" s="31">
        <f t="shared" ref="V47" si="350">IF(V46&lt;&gt;"",V46,U47)</f>
        <v>0</v>
      </c>
      <c r="W47" s="31">
        <f t="shared" ref="W47" si="351">IF(W46&lt;&gt;"",W46,V47)</f>
        <v>0</v>
      </c>
      <c r="X47" s="31">
        <f t="shared" ref="X47" si="352">IF(X46&lt;&gt;"",X46,W47)</f>
        <v>0</v>
      </c>
      <c r="Y47" s="31">
        <f t="shared" ref="Y47" si="353">IF(Y46&lt;&gt;"",Y46,X47)</f>
        <v>0</v>
      </c>
      <c r="Z47" s="31">
        <f t="shared" ref="Z47" si="354">IF(Z46&lt;&gt;"",Z46,Y47)</f>
        <v>0</v>
      </c>
      <c r="AA47" s="31">
        <f t="shared" ref="AA47" si="355">IF(AA46&lt;&gt;"",AA46,Z47)</f>
        <v>0</v>
      </c>
      <c r="AB47" s="31">
        <f t="shared" ref="AB47" si="356">IF(AB46&lt;&gt;"",AB46,AA47)</f>
        <v>0</v>
      </c>
      <c r="AC47" s="31">
        <f t="shared" ref="AC47" si="357">IF(AC46&lt;&gt;"",AC46,AB47)</f>
        <v>0</v>
      </c>
      <c r="AD47" s="31">
        <f t="shared" ref="AD47" si="358">IF(AD46&lt;&gt;"",AD46,AC47)</f>
        <v>0</v>
      </c>
      <c r="AE47" s="31">
        <f t="shared" ref="AE47" si="359">IF(AE46&lt;&gt;"",AE46,AD47)</f>
        <v>0</v>
      </c>
      <c r="AF47" s="31">
        <f t="shared" ref="AF47" si="360">IF(AF46&lt;&gt;"",AF46,AE47)</f>
        <v>0</v>
      </c>
      <c r="AG47" s="31">
        <f t="shared" ref="AG47" si="361">IF(AG46&lt;&gt;"",AG46,AF47)</f>
        <v>0</v>
      </c>
      <c r="AH47" s="31">
        <f t="shared" ref="AH47" si="362">IF(AH46&lt;&gt;"",AH46,AG47)</f>
        <v>0</v>
      </c>
      <c r="AI47" s="31">
        <f t="shared" ref="AI47" si="363">IF(AI46&lt;&gt;"",AI46,AH47)</f>
        <v>0</v>
      </c>
      <c r="AJ47" s="31">
        <f t="shared" ref="AJ47" si="364">IF(AJ46&lt;&gt;"",AJ46,AI47)</f>
        <v>0</v>
      </c>
      <c r="AK47" s="31">
        <f t="shared" ref="AK47" si="365">IF(AK46&lt;&gt;"",AK46,AJ47)</f>
        <v>0</v>
      </c>
      <c r="AL47" s="31">
        <f t="shared" ref="AL47" si="366">IF(AL46&lt;&gt;"",AL46,AK47)</f>
        <v>0</v>
      </c>
      <c r="AM47" s="31">
        <f t="shared" ref="AM47" si="367">IF(AM46&lt;&gt;"",AM46,AL47)</f>
        <v>0</v>
      </c>
      <c r="AN47" s="31">
        <f t="shared" ref="AN47" si="368">IF(AN46&lt;&gt;"",AN46,AM47)</f>
        <v>0</v>
      </c>
      <c r="AO47" s="31">
        <f t="shared" ref="AO47" si="369">IF(AO46&lt;&gt;"",AO46,AN47)</f>
        <v>0</v>
      </c>
      <c r="AP47" s="31">
        <f t="shared" ref="AP47" si="370">IF(AP46&lt;&gt;"",AP46,AO47)</f>
        <v>0</v>
      </c>
      <c r="AQ47" s="31">
        <f t="shared" ref="AQ47" si="371">IF(AQ46&lt;&gt;"",AQ46,AP47)</f>
        <v>0</v>
      </c>
      <c r="AR47" s="31">
        <f t="shared" ref="AR47" si="372">IF(AR46&lt;&gt;"",AR46,AQ47)</f>
        <v>0</v>
      </c>
      <c r="AS47" s="31">
        <f t="shared" ref="AS47" si="373">IF(AS46&lt;&gt;"",AS46,AR47)</f>
        <v>0</v>
      </c>
      <c r="AT47" s="31">
        <f t="shared" ref="AT47" si="374">IF(AT46&lt;&gt;"",AT46,AS47)</f>
        <v>0</v>
      </c>
      <c r="AU47" s="31">
        <f t="shared" ref="AU47" si="375">IF(AU46&lt;&gt;"",AU46,AT47)</f>
        <v>0</v>
      </c>
      <c r="AV47" s="31">
        <f t="shared" ref="AV47" si="376">IF(AV46&lt;&gt;"",AV46,AU47)</f>
        <v>0</v>
      </c>
      <c r="AW47" s="31">
        <f t="shared" ref="AW47" si="377">IF(AW46&lt;&gt;"",AW46,AV47)</f>
        <v>0</v>
      </c>
      <c r="AX47" s="31">
        <f t="shared" ref="AX47" si="378">IF(AX46&lt;&gt;"",AX46,AW47)</f>
        <v>0</v>
      </c>
      <c r="AY47" s="31">
        <f t="shared" ref="AY47" si="379">IF(AY46&lt;&gt;"",AY46,AX47)</f>
        <v>0</v>
      </c>
      <c r="AZ47" s="31">
        <f t="shared" ref="AZ47" si="380">IF(AZ46&lt;&gt;"",AZ46,AY47)</f>
        <v>0</v>
      </c>
      <c r="BA47" s="31">
        <f t="shared" ref="BA47" si="381">IF(BA46&lt;&gt;"",BA46,AZ47)</f>
        <v>0</v>
      </c>
      <c r="BB47" s="31">
        <f t="shared" ref="BB47" si="382">IF(BB46&lt;&gt;"",BB46,BA47)</f>
        <v>0</v>
      </c>
      <c r="BC47" s="31">
        <f t="shared" ref="BC47" si="383">IF(BC46&lt;&gt;"",BC46,BB47)</f>
        <v>0</v>
      </c>
      <c r="BD47" s="31">
        <f t="shared" ref="BD47" si="384">IF(BD46&lt;&gt;"",BD46,BC47)</f>
        <v>0</v>
      </c>
      <c r="BE47" s="31">
        <f t="shared" ref="BE47" si="385">IF(BE46&lt;&gt;"",BE46,BD47)</f>
        <v>0</v>
      </c>
      <c r="BF47" s="31">
        <f t="shared" ref="BF47" si="386">IF(BF46&lt;&gt;"",BF46,BE47)</f>
        <v>0</v>
      </c>
      <c r="BG47" s="31">
        <f t="shared" ref="BG47" si="387">IF(BG46&lt;&gt;"",BG46,BF47)</f>
        <v>0</v>
      </c>
      <c r="BH47" s="31">
        <f t="shared" ref="BH47" si="388">IF(BH46&lt;&gt;"",BH46,BG47)</f>
        <v>0</v>
      </c>
      <c r="BI47" s="31">
        <f t="shared" ref="BI47" si="389">IF(BI46&lt;&gt;"",BI46,BH47)</f>
        <v>0</v>
      </c>
      <c r="BJ47" s="31">
        <f t="shared" ref="BJ47" si="390">IF(BJ46&lt;&gt;"",BJ46,BI47)</f>
        <v>0</v>
      </c>
      <c r="BK47" s="31">
        <f t="shared" ref="BK47" si="391">IF(BK46&lt;&gt;"",BK46,BJ47)</f>
        <v>0</v>
      </c>
      <c r="BL47" s="31">
        <f t="shared" ref="BL47" si="392">IF(BL46&lt;&gt;"",BL46,BK47)</f>
        <v>0</v>
      </c>
      <c r="BM47" s="31">
        <f t="shared" ref="BM47" si="393">IF(BM46&lt;&gt;"",BM46,BL47)</f>
        <v>0</v>
      </c>
      <c r="BN47" s="31">
        <f t="shared" ref="BN47" si="394">IF(BN46&lt;&gt;"",BN46,BM47)</f>
        <v>0</v>
      </c>
      <c r="BO47" s="31">
        <f t="shared" ref="BO47" si="395">IF(BO46&lt;&gt;"",BO46,BN47)</f>
        <v>0</v>
      </c>
      <c r="BP47" s="31">
        <f t="shared" ref="BP47" si="396">IF(BP46&lt;&gt;"",BP46,BO47)</f>
        <v>0</v>
      </c>
      <c r="BQ47" s="31">
        <f t="shared" ref="BQ47" si="397">IF(BQ46&lt;&gt;"",BQ46,BP47)</f>
        <v>0</v>
      </c>
      <c r="BR47" s="31">
        <f t="shared" ref="BR47" si="398">IF(BR46&lt;&gt;"",BR46,BQ47)</f>
        <v>0</v>
      </c>
      <c r="BS47" s="31">
        <f t="shared" ref="BS47" si="399">IF(BS46&lt;&gt;"",BS46,BR47)</f>
        <v>0</v>
      </c>
      <c r="BT47" s="31">
        <f t="shared" ref="BT47" si="400">IF(BT46&lt;&gt;"",BT46,BS47)</f>
        <v>0</v>
      </c>
      <c r="BU47" s="31">
        <f t="shared" ref="BU47" si="401">IF(BU46&lt;&gt;"",BU46,BT47)</f>
        <v>0</v>
      </c>
      <c r="BV47" s="31">
        <f t="shared" ref="BV47" si="402">IF(BV46&lt;&gt;"",BV46,BU47)</f>
        <v>0</v>
      </c>
      <c r="BW47" s="31">
        <f t="shared" ref="BW47" si="403">IF(BW46&lt;&gt;"",BW46,BV47)</f>
        <v>0</v>
      </c>
      <c r="BX47" s="31">
        <f t="shared" ref="BX47" si="404">IF(BX46&lt;&gt;"",BX46,BW47)</f>
        <v>0</v>
      </c>
      <c r="BY47" s="31">
        <f t="shared" ref="BY47" si="405">IF(BY46&lt;&gt;"",BY46,BX47)</f>
        <v>0</v>
      </c>
      <c r="BZ47" s="31">
        <f t="shared" ref="BZ47" si="406">IF(BZ46&lt;&gt;"",BZ46,BY47)</f>
        <v>0</v>
      </c>
      <c r="CA47" s="31">
        <f t="shared" ref="CA47" si="407">IF(CA46&lt;&gt;"",CA46,BZ47)</f>
        <v>0</v>
      </c>
      <c r="CB47" s="31">
        <f t="shared" ref="CB47" si="408">IF(CB46&lt;&gt;"",CB46,CA47)</f>
        <v>0</v>
      </c>
      <c r="CC47" s="31">
        <f t="shared" ref="CC47" si="409">IF(CC46&lt;&gt;"",CC46,CB47)</f>
        <v>0</v>
      </c>
      <c r="CD47" s="31">
        <f t="shared" ref="CD47" si="410">IF(CD46&lt;&gt;"",CD46,CC47)</f>
        <v>0</v>
      </c>
      <c r="CE47" s="31">
        <f t="shared" ref="CE47" si="411">IF(CE46&lt;&gt;"",CE46,CD47)</f>
        <v>0</v>
      </c>
      <c r="CF47" s="31">
        <f t="shared" ref="CF47" si="412">IF(CF46&lt;&gt;"",CF46,CE47)</f>
        <v>0</v>
      </c>
      <c r="CG47" s="31">
        <f t="shared" ref="CG47" si="413">IF(CG46&lt;&gt;"",CG46,CF47)</f>
        <v>0</v>
      </c>
      <c r="CH47" s="231">
        <f t="shared" ref="CH47" si="414">IF(CH46&lt;&gt;"",CH46,CG47)</f>
        <v>0</v>
      </c>
    </row>
    <row r="48" spans="2:86" ht="8.25" customHeight="1">
      <c r="B48" s="275"/>
      <c r="I48" s="5"/>
      <c r="J48" s="5"/>
      <c r="K48" s="5"/>
      <c r="L48" s="5"/>
      <c r="CH48" s="232"/>
    </row>
    <row r="49" spans="2:86">
      <c r="B49" s="457" t="s">
        <v>43</v>
      </c>
      <c r="C49" s="458"/>
      <c r="D49" s="3">
        <f>Cockpit!N24</f>
        <v>0</v>
      </c>
      <c r="E49" s="3">
        <f>D58</f>
        <v>0</v>
      </c>
      <c r="F49" s="3">
        <f t="shared" ref="F49" si="415">E58</f>
        <v>0</v>
      </c>
      <c r="G49" s="3">
        <f t="shared" ref="G49" si="416">F58</f>
        <v>0</v>
      </c>
      <c r="H49" s="3">
        <f t="shared" ref="H49" si="417">G58</f>
        <v>0</v>
      </c>
      <c r="I49" s="3">
        <f t="shared" ref="I49" si="418">H58</f>
        <v>0</v>
      </c>
      <c r="J49" s="3">
        <f t="shared" ref="J49" si="419">I58</f>
        <v>0</v>
      </c>
      <c r="K49" s="3">
        <f t="shared" ref="K49" si="420">J58</f>
        <v>0</v>
      </c>
      <c r="L49" s="3">
        <f t="shared" ref="L49" si="421">K58</f>
        <v>0</v>
      </c>
      <c r="M49" s="3">
        <f t="shared" ref="M49" si="422">L58</f>
        <v>0</v>
      </c>
      <c r="N49" s="3">
        <f t="shared" ref="N49" si="423">M58</f>
        <v>0</v>
      </c>
      <c r="O49" s="3">
        <f t="shared" ref="O49" si="424">N58</f>
        <v>0</v>
      </c>
      <c r="P49" s="3">
        <f t="shared" ref="P49" si="425">O58</f>
        <v>0</v>
      </c>
      <c r="Q49" s="3">
        <f t="shared" ref="Q49" si="426">P58</f>
        <v>0</v>
      </c>
      <c r="R49" s="3">
        <f t="shared" ref="R49" si="427">Q58</f>
        <v>0</v>
      </c>
      <c r="S49" s="3">
        <f t="shared" ref="S49" si="428">R58</f>
        <v>0</v>
      </c>
      <c r="T49" s="3">
        <f t="shared" ref="T49" si="429">S58</f>
        <v>0</v>
      </c>
      <c r="U49" s="3">
        <f t="shared" ref="U49" si="430">T58</f>
        <v>0</v>
      </c>
      <c r="V49" s="3">
        <f t="shared" ref="V49" si="431">U58</f>
        <v>0</v>
      </c>
      <c r="W49" s="3">
        <f t="shared" ref="W49" si="432">V58</f>
        <v>0</v>
      </c>
      <c r="X49" s="3">
        <f t="shared" ref="X49" si="433">W58</f>
        <v>0</v>
      </c>
      <c r="Y49" s="3">
        <f t="shared" ref="Y49" si="434">X58</f>
        <v>0</v>
      </c>
      <c r="Z49" s="3">
        <f t="shared" ref="Z49" si="435">Y58</f>
        <v>0</v>
      </c>
      <c r="AA49" s="3">
        <f t="shared" ref="AA49" si="436">Z58</f>
        <v>0</v>
      </c>
      <c r="AB49" s="3">
        <f t="shared" ref="AB49" si="437">AA58</f>
        <v>0</v>
      </c>
      <c r="AC49" s="3">
        <f t="shared" ref="AC49" si="438">AB58</f>
        <v>0</v>
      </c>
      <c r="AD49" s="3">
        <f t="shared" ref="AD49" si="439">AC58</f>
        <v>0</v>
      </c>
      <c r="AE49" s="3">
        <f t="shared" ref="AE49" si="440">AD58</f>
        <v>0</v>
      </c>
      <c r="AF49" s="3">
        <f t="shared" ref="AF49" si="441">AE58</f>
        <v>0</v>
      </c>
      <c r="AG49" s="3">
        <f t="shared" ref="AG49" si="442">AF58</f>
        <v>0</v>
      </c>
      <c r="AH49" s="3">
        <f t="shared" ref="AH49" si="443">AG58</f>
        <v>0</v>
      </c>
      <c r="AI49" s="3">
        <f t="shared" ref="AI49" si="444">AH58</f>
        <v>0</v>
      </c>
      <c r="AJ49" s="3">
        <f t="shared" ref="AJ49" si="445">AI58</f>
        <v>0</v>
      </c>
      <c r="AK49" s="3">
        <f t="shared" ref="AK49" si="446">AJ58</f>
        <v>0</v>
      </c>
      <c r="AL49" s="3">
        <f t="shared" ref="AL49" si="447">AK58</f>
        <v>0</v>
      </c>
      <c r="AM49" s="3">
        <f t="shared" ref="AM49" si="448">AL58</f>
        <v>0</v>
      </c>
      <c r="AN49" s="3">
        <f t="shared" ref="AN49" si="449">AM58</f>
        <v>0</v>
      </c>
      <c r="AO49" s="3">
        <f t="shared" ref="AO49" si="450">AN58</f>
        <v>0</v>
      </c>
      <c r="AP49" s="3">
        <f t="shared" ref="AP49" si="451">AO58</f>
        <v>0</v>
      </c>
      <c r="AQ49" s="3">
        <f t="shared" ref="AQ49" si="452">AP58</f>
        <v>0</v>
      </c>
      <c r="AR49" s="3">
        <f t="shared" ref="AR49" si="453">AQ58</f>
        <v>0</v>
      </c>
      <c r="AS49" s="3">
        <f t="shared" ref="AS49" si="454">AR58</f>
        <v>0</v>
      </c>
      <c r="AT49" s="3">
        <f t="shared" ref="AT49" si="455">AS58</f>
        <v>0</v>
      </c>
      <c r="AU49" s="3">
        <f t="shared" ref="AU49" si="456">AT58</f>
        <v>0</v>
      </c>
      <c r="AV49" s="3">
        <f t="shared" ref="AV49" si="457">AU58</f>
        <v>0</v>
      </c>
      <c r="AW49" s="3">
        <f t="shared" ref="AW49" si="458">AV58</f>
        <v>0</v>
      </c>
      <c r="AX49" s="3">
        <f t="shared" ref="AX49" si="459">AW58</f>
        <v>0</v>
      </c>
      <c r="AY49" s="3">
        <f t="shared" ref="AY49" si="460">AX58</f>
        <v>0</v>
      </c>
      <c r="AZ49" s="3">
        <f t="shared" ref="AZ49" si="461">AY58</f>
        <v>0</v>
      </c>
      <c r="BA49" s="3">
        <f t="shared" ref="BA49" si="462">AZ58</f>
        <v>0</v>
      </c>
      <c r="BB49" s="3">
        <f t="shared" ref="BB49" si="463">BA58</f>
        <v>0</v>
      </c>
      <c r="BC49" s="3">
        <f t="shared" ref="BC49" si="464">BB58</f>
        <v>0</v>
      </c>
      <c r="BD49" s="3">
        <f t="shared" ref="BD49" si="465">BC58</f>
        <v>0</v>
      </c>
      <c r="BE49" s="3">
        <f t="shared" ref="BE49" si="466">BD58</f>
        <v>0</v>
      </c>
      <c r="BF49" s="3">
        <f t="shared" ref="BF49" si="467">BE58</f>
        <v>0</v>
      </c>
      <c r="BG49" s="3">
        <f t="shared" ref="BG49" si="468">BF58</f>
        <v>0</v>
      </c>
      <c r="BH49" s="3">
        <f t="shared" ref="BH49" si="469">BG58</f>
        <v>0</v>
      </c>
      <c r="BI49" s="3">
        <f t="shared" ref="BI49" si="470">BH58</f>
        <v>0</v>
      </c>
      <c r="BJ49" s="3">
        <f t="shared" ref="BJ49" si="471">BI58</f>
        <v>0</v>
      </c>
      <c r="BK49" s="3">
        <f t="shared" ref="BK49" si="472">BJ58</f>
        <v>0</v>
      </c>
      <c r="BL49" s="3">
        <f t="shared" ref="BL49" si="473">BK58</f>
        <v>0</v>
      </c>
      <c r="BM49" s="3">
        <f t="shared" ref="BM49" si="474">BL58</f>
        <v>0</v>
      </c>
      <c r="BN49" s="3">
        <f t="shared" ref="BN49" si="475">BM58</f>
        <v>0</v>
      </c>
      <c r="BO49" s="3">
        <f t="shared" ref="BO49" si="476">BN58</f>
        <v>0</v>
      </c>
      <c r="BP49" s="3">
        <f t="shared" ref="BP49" si="477">BO58</f>
        <v>0</v>
      </c>
      <c r="BQ49" s="3">
        <f t="shared" ref="BQ49" si="478">BP58</f>
        <v>0</v>
      </c>
      <c r="BR49" s="3">
        <f t="shared" ref="BR49" si="479">BQ58</f>
        <v>0</v>
      </c>
      <c r="BS49" s="3">
        <f t="shared" ref="BS49" si="480">BR58</f>
        <v>0</v>
      </c>
      <c r="BT49" s="3">
        <f t="shared" ref="BT49" si="481">BS58</f>
        <v>0</v>
      </c>
      <c r="BU49" s="3">
        <f t="shared" ref="BU49" si="482">BT58</f>
        <v>0</v>
      </c>
      <c r="BV49" s="3">
        <f t="shared" ref="BV49" si="483">BU58</f>
        <v>0</v>
      </c>
      <c r="BW49" s="3">
        <f t="shared" ref="BW49" si="484">BV58</f>
        <v>0</v>
      </c>
      <c r="BX49" s="3">
        <f t="shared" ref="BX49" si="485">BW58</f>
        <v>0</v>
      </c>
      <c r="BY49" s="3">
        <f t="shared" ref="BY49" si="486">BX58</f>
        <v>0</v>
      </c>
      <c r="BZ49" s="3">
        <f t="shared" ref="BZ49" si="487">BY58</f>
        <v>0</v>
      </c>
      <c r="CA49" s="3">
        <f t="shared" ref="CA49" si="488">BZ58</f>
        <v>0</v>
      </c>
      <c r="CB49" s="3">
        <f t="shared" ref="CB49" si="489">CA58</f>
        <v>0</v>
      </c>
      <c r="CC49" s="3">
        <f t="shared" ref="CC49" si="490">CB58</f>
        <v>0</v>
      </c>
      <c r="CD49" s="3">
        <f t="shared" ref="CD49" si="491">CC58</f>
        <v>0</v>
      </c>
      <c r="CE49" s="3">
        <f t="shared" ref="CE49" si="492">CD58</f>
        <v>0</v>
      </c>
      <c r="CF49" s="3">
        <f t="shared" ref="CF49" si="493">CE58</f>
        <v>0</v>
      </c>
      <c r="CG49" s="3">
        <f t="shared" ref="CG49" si="494">CF58</f>
        <v>0</v>
      </c>
      <c r="CH49" s="226">
        <f t="shared" ref="CH49" si="495">CG58</f>
        <v>0</v>
      </c>
    </row>
    <row r="50" spans="2:86">
      <c r="B50" s="457" t="s">
        <v>44</v>
      </c>
      <c r="C50" s="458"/>
      <c r="D50" s="3">
        <f t="shared" ref="D50:BA50" si="496">D47*D49</f>
        <v>0</v>
      </c>
      <c r="E50" s="3">
        <f t="shared" si="496"/>
        <v>0</v>
      </c>
      <c r="F50" s="3">
        <f t="shared" si="496"/>
        <v>0</v>
      </c>
      <c r="G50" s="3">
        <f t="shared" si="496"/>
        <v>0</v>
      </c>
      <c r="H50" s="3">
        <f t="shared" si="496"/>
        <v>0</v>
      </c>
      <c r="I50" s="3">
        <f t="shared" si="496"/>
        <v>0</v>
      </c>
      <c r="J50" s="3">
        <f t="shared" si="496"/>
        <v>0</v>
      </c>
      <c r="K50" s="3">
        <f t="shared" si="496"/>
        <v>0</v>
      </c>
      <c r="L50" s="3">
        <f t="shared" si="496"/>
        <v>0</v>
      </c>
      <c r="M50" s="3">
        <f t="shared" si="496"/>
        <v>0</v>
      </c>
      <c r="N50" s="3">
        <f t="shared" si="496"/>
        <v>0</v>
      </c>
      <c r="O50" s="3">
        <f t="shared" si="496"/>
        <v>0</v>
      </c>
      <c r="P50" s="3">
        <f t="shared" si="496"/>
        <v>0</v>
      </c>
      <c r="Q50" s="3">
        <f t="shared" si="496"/>
        <v>0</v>
      </c>
      <c r="R50" s="3">
        <f t="shared" si="496"/>
        <v>0</v>
      </c>
      <c r="S50" s="3">
        <f t="shared" si="496"/>
        <v>0</v>
      </c>
      <c r="T50" s="3">
        <f t="shared" si="496"/>
        <v>0</v>
      </c>
      <c r="U50" s="3">
        <f t="shared" si="496"/>
        <v>0</v>
      </c>
      <c r="V50" s="3">
        <f t="shared" si="496"/>
        <v>0</v>
      </c>
      <c r="W50" s="3">
        <f t="shared" si="496"/>
        <v>0</v>
      </c>
      <c r="X50" s="3">
        <f t="shared" si="496"/>
        <v>0</v>
      </c>
      <c r="Y50" s="3">
        <f t="shared" si="496"/>
        <v>0</v>
      </c>
      <c r="Z50" s="3">
        <f t="shared" si="496"/>
        <v>0</v>
      </c>
      <c r="AA50" s="3">
        <f t="shared" si="496"/>
        <v>0</v>
      </c>
      <c r="AB50" s="3">
        <f t="shared" si="496"/>
        <v>0</v>
      </c>
      <c r="AC50" s="3">
        <f t="shared" si="496"/>
        <v>0</v>
      </c>
      <c r="AD50" s="3">
        <f t="shared" si="496"/>
        <v>0</v>
      </c>
      <c r="AE50" s="3">
        <f t="shared" si="496"/>
        <v>0</v>
      </c>
      <c r="AF50" s="3">
        <f t="shared" si="496"/>
        <v>0</v>
      </c>
      <c r="AG50" s="3">
        <f t="shared" si="496"/>
        <v>0</v>
      </c>
      <c r="AH50" s="3">
        <f t="shared" si="496"/>
        <v>0</v>
      </c>
      <c r="AI50" s="3">
        <f t="shared" si="496"/>
        <v>0</v>
      </c>
      <c r="AJ50" s="3">
        <f t="shared" si="496"/>
        <v>0</v>
      </c>
      <c r="AK50" s="3">
        <f t="shared" si="496"/>
        <v>0</v>
      </c>
      <c r="AL50" s="3">
        <f t="shared" si="496"/>
        <v>0</v>
      </c>
      <c r="AM50" s="3">
        <f t="shared" si="496"/>
        <v>0</v>
      </c>
      <c r="AN50" s="3">
        <f t="shared" si="496"/>
        <v>0</v>
      </c>
      <c r="AO50" s="3">
        <f t="shared" si="496"/>
        <v>0</v>
      </c>
      <c r="AP50" s="3">
        <f t="shared" si="496"/>
        <v>0</v>
      </c>
      <c r="AQ50" s="3">
        <f t="shared" si="496"/>
        <v>0</v>
      </c>
      <c r="AR50" s="3">
        <f t="shared" si="496"/>
        <v>0</v>
      </c>
      <c r="AS50" s="3">
        <f t="shared" si="496"/>
        <v>0</v>
      </c>
      <c r="AT50" s="3">
        <f t="shared" si="496"/>
        <v>0</v>
      </c>
      <c r="AU50" s="3">
        <f t="shared" si="496"/>
        <v>0</v>
      </c>
      <c r="AV50" s="3">
        <f t="shared" si="496"/>
        <v>0</v>
      </c>
      <c r="AW50" s="3">
        <f t="shared" si="496"/>
        <v>0</v>
      </c>
      <c r="AX50" s="3">
        <f t="shared" si="496"/>
        <v>0</v>
      </c>
      <c r="AY50" s="3">
        <f t="shared" si="496"/>
        <v>0</v>
      </c>
      <c r="AZ50" s="3">
        <f t="shared" si="496"/>
        <v>0</v>
      </c>
      <c r="BA50" s="3">
        <f t="shared" si="496"/>
        <v>0</v>
      </c>
      <c r="BB50" s="3">
        <f t="shared" ref="BB50:CH50" si="497">BB47*BB49</f>
        <v>0</v>
      </c>
      <c r="BC50" s="3">
        <f t="shared" si="497"/>
        <v>0</v>
      </c>
      <c r="BD50" s="3">
        <f t="shared" si="497"/>
        <v>0</v>
      </c>
      <c r="BE50" s="3">
        <f t="shared" si="497"/>
        <v>0</v>
      </c>
      <c r="BF50" s="3">
        <f t="shared" si="497"/>
        <v>0</v>
      </c>
      <c r="BG50" s="3">
        <f t="shared" si="497"/>
        <v>0</v>
      </c>
      <c r="BH50" s="3">
        <f t="shared" si="497"/>
        <v>0</v>
      </c>
      <c r="BI50" s="3">
        <f t="shared" si="497"/>
        <v>0</v>
      </c>
      <c r="BJ50" s="3">
        <f t="shared" si="497"/>
        <v>0</v>
      </c>
      <c r="BK50" s="3">
        <f t="shared" si="497"/>
        <v>0</v>
      </c>
      <c r="BL50" s="3">
        <f t="shared" si="497"/>
        <v>0</v>
      </c>
      <c r="BM50" s="3">
        <f t="shared" si="497"/>
        <v>0</v>
      </c>
      <c r="BN50" s="3">
        <f t="shared" si="497"/>
        <v>0</v>
      </c>
      <c r="BO50" s="3">
        <f t="shared" si="497"/>
        <v>0</v>
      </c>
      <c r="BP50" s="3">
        <f t="shared" si="497"/>
        <v>0</v>
      </c>
      <c r="BQ50" s="3">
        <f t="shared" si="497"/>
        <v>0</v>
      </c>
      <c r="BR50" s="3">
        <f t="shared" si="497"/>
        <v>0</v>
      </c>
      <c r="BS50" s="3">
        <f t="shared" si="497"/>
        <v>0</v>
      </c>
      <c r="BT50" s="3">
        <f t="shared" si="497"/>
        <v>0</v>
      </c>
      <c r="BU50" s="3">
        <f t="shared" si="497"/>
        <v>0</v>
      </c>
      <c r="BV50" s="3">
        <f t="shared" si="497"/>
        <v>0</v>
      </c>
      <c r="BW50" s="3">
        <f t="shared" si="497"/>
        <v>0</v>
      </c>
      <c r="BX50" s="3">
        <f t="shared" si="497"/>
        <v>0</v>
      </c>
      <c r="BY50" s="3">
        <f t="shared" si="497"/>
        <v>0</v>
      </c>
      <c r="BZ50" s="3">
        <f t="shared" si="497"/>
        <v>0</v>
      </c>
      <c r="CA50" s="3">
        <f t="shared" si="497"/>
        <v>0</v>
      </c>
      <c r="CB50" s="3">
        <f t="shared" si="497"/>
        <v>0</v>
      </c>
      <c r="CC50" s="3">
        <f t="shared" si="497"/>
        <v>0</v>
      </c>
      <c r="CD50" s="3">
        <f t="shared" si="497"/>
        <v>0</v>
      </c>
      <c r="CE50" s="3">
        <f t="shared" si="497"/>
        <v>0</v>
      </c>
      <c r="CF50" s="3">
        <f t="shared" si="497"/>
        <v>0</v>
      </c>
      <c r="CG50" s="3">
        <f t="shared" si="497"/>
        <v>0</v>
      </c>
      <c r="CH50" s="226">
        <f t="shared" si="497"/>
        <v>0</v>
      </c>
    </row>
    <row r="51" spans="2:86" ht="9.75" customHeight="1">
      <c r="B51" s="275"/>
      <c r="I51" s="5"/>
      <c r="J51" s="5"/>
      <c r="K51" s="5"/>
      <c r="L51" s="5"/>
      <c r="CH51" s="232"/>
    </row>
    <row r="52" spans="2:86">
      <c r="B52" s="457" t="s">
        <v>53</v>
      </c>
      <c r="C52" s="458"/>
      <c r="D52" s="3"/>
      <c r="E52" s="238"/>
      <c r="F52" s="238"/>
      <c r="G52" s="238"/>
      <c r="H52" s="238"/>
      <c r="I52" s="238"/>
      <c r="J52" s="238"/>
      <c r="K52" s="238"/>
      <c r="L52" s="238"/>
      <c r="M52" s="238"/>
      <c r="N52" s="238"/>
      <c r="O52" s="238"/>
      <c r="P52" s="238"/>
      <c r="Q52" s="238"/>
      <c r="R52" s="238"/>
      <c r="S52" s="238"/>
      <c r="T52" s="238"/>
      <c r="U52" s="238"/>
      <c r="V52" s="238"/>
      <c r="W52" s="238"/>
      <c r="X52" s="238"/>
      <c r="Y52" s="238"/>
      <c r="Z52" s="238"/>
      <c r="AA52" s="238"/>
      <c r="AB52" s="238"/>
      <c r="AC52" s="238"/>
      <c r="AD52" s="238"/>
      <c r="AE52" s="238"/>
      <c r="AF52" s="238"/>
      <c r="AG52" s="238"/>
      <c r="AH52" s="238"/>
      <c r="AI52" s="238"/>
      <c r="AJ52" s="238"/>
      <c r="AK52" s="238"/>
      <c r="AL52" s="238"/>
      <c r="AM52" s="238"/>
      <c r="AN52" s="238"/>
      <c r="AO52" s="238"/>
      <c r="AP52" s="238"/>
      <c r="AQ52" s="238"/>
      <c r="AR52" s="238"/>
      <c r="AS52" s="238"/>
      <c r="AT52" s="238"/>
      <c r="AU52" s="238"/>
      <c r="AV52" s="238"/>
      <c r="AW52" s="238"/>
      <c r="AX52" s="238"/>
      <c r="AY52" s="238"/>
      <c r="AZ52" s="238"/>
      <c r="BA52" s="238"/>
      <c r="BB52" s="238"/>
      <c r="BC52" s="238"/>
      <c r="BD52" s="238"/>
      <c r="BE52" s="238"/>
      <c r="BF52" s="238"/>
      <c r="BG52" s="238"/>
      <c r="BH52" s="238"/>
      <c r="BI52" s="238"/>
      <c r="BJ52" s="238"/>
      <c r="BK52" s="238"/>
      <c r="BL52" s="238"/>
      <c r="BM52" s="238"/>
      <c r="BN52" s="238"/>
      <c r="BO52" s="238"/>
      <c r="BP52" s="238"/>
      <c r="BQ52" s="238"/>
      <c r="BR52" s="238"/>
      <c r="BS52" s="238"/>
      <c r="BT52" s="238"/>
      <c r="BU52" s="238"/>
      <c r="BV52" s="238"/>
      <c r="BW52" s="238"/>
      <c r="BX52" s="238"/>
      <c r="BY52" s="238"/>
      <c r="BZ52" s="238"/>
      <c r="CA52" s="238"/>
      <c r="CB52" s="238"/>
      <c r="CC52" s="238"/>
      <c r="CD52" s="238"/>
      <c r="CE52" s="238"/>
      <c r="CF52" s="238"/>
      <c r="CG52" s="238"/>
      <c r="CH52" s="239"/>
    </row>
    <row r="53" spans="2:86">
      <c r="B53" s="457" t="s">
        <v>54</v>
      </c>
      <c r="C53" s="458"/>
      <c r="D53" s="3">
        <f>Cockpit!$N$26*D49</f>
        <v>0</v>
      </c>
      <c r="E53" s="3">
        <f t="shared" ref="E53" si="498">MIN(D58,IF(E52&lt;&gt;"",E52,MAX(D56-E50,0)))</f>
        <v>0</v>
      </c>
      <c r="F53" s="3">
        <f t="shared" ref="F53" si="499">MIN(E58,IF(F52&lt;&gt;"",F52,MAX(E56-F50,0)))</f>
        <v>0</v>
      </c>
      <c r="G53" s="3">
        <f t="shared" ref="G53" si="500">MIN(F58,IF(G52&lt;&gt;"",G52,MAX(F56-G50,0)))</f>
        <v>0</v>
      </c>
      <c r="H53" s="3">
        <f t="shared" ref="H53" si="501">MIN(G58,IF(H52&lt;&gt;"",H52,MAX(G56-H50,0)))</f>
        <v>0</v>
      </c>
      <c r="I53" s="3">
        <f t="shared" ref="I53" si="502">MIN(H58,IF(I52&lt;&gt;"",I52,MAX(H56-I50,0)))</f>
        <v>0</v>
      </c>
      <c r="J53" s="3">
        <f t="shared" ref="J53" si="503">MIN(I58,IF(J52&lt;&gt;"",J52,MAX(I56-J50,0)))</f>
        <v>0</v>
      </c>
      <c r="K53" s="3">
        <f t="shared" ref="K53" si="504">MIN(J58,IF(K52&lt;&gt;"",K52,MAX(J56-K50,0)))</f>
        <v>0</v>
      </c>
      <c r="L53" s="3">
        <f t="shared" ref="L53" si="505">MIN(K58,IF(L52&lt;&gt;"",L52,MAX(K56-L50,0)))</f>
        <v>0</v>
      </c>
      <c r="M53" s="3">
        <f>MIN(L58,IF(M52&lt;&gt;"",M52,MAX(L56-M50,0)))</f>
        <v>0</v>
      </c>
      <c r="N53" s="3">
        <f t="shared" ref="N53" si="506">MIN(M58,IF(N52&lt;&gt;"",N52,MAX(M56-N50,0)))</f>
        <v>0</v>
      </c>
      <c r="O53" s="3">
        <f t="shared" ref="O53" si="507">MIN(N58,IF(O52&lt;&gt;"",O52,MAX(N56-O50,0)))</f>
        <v>0</v>
      </c>
      <c r="P53" s="3">
        <f t="shared" ref="P53" si="508">MIN(O58,IF(P52&lt;&gt;"",P52,MAX(O56-P50,0)))</f>
        <v>0</v>
      </c>
      <c r="Q53" s="3">
        <f t="shared" ref="Q53" si="509">MIN(P58,IF(Q52&lt;&gt;"",Q52,MAX(P56-Q50,0)))</f>
        <v>0</v>
      </c>
      <c r="R53" s="3">
        <f t="shared" ref="R53" si="510">MIN(Q58,IF(R52&lt;&gt;"",R52,MAX(Q56-R50,0)))</f>
        <v>0</v>
      </c>
      <c r="S53" s="3">
        <f t="shared" ref="S53" si="511">MIN(R58,IF(S52&lt;&gt;"",S52,MAX(R56-S50,0)))</f>
        <v>0</v>
      </c>
      <c r="T53" s="3">
        <f t="shared" ref="T53" si="512">MIN(S58,IF(T52&lt;&gt;"",T52,MAX(S56-T50,0)))</f>
        <v>0</v>
      </c>
      <c r="U53" s="3">
        <f t="shared" ref="U53" si="513">MIN(T58,IF(U52&lt;&gt;"",U52,MAX(T56-U50,0)))</f>
        <v>0</v>
      </c>
      <c r="V53" s="3">
        <f t="shared" ref="V53" si="514">MIN(U58,IF(V52&lt;&gt;"",V52,MAX(U56-V50,0)))</f>
        <v>0</v>
      </c>
      <c r="W53" s="3">
        <f t="shared" ref="W53" si="515">MIN(V58,IF(W52&lt;&gt;"",W52,MAX(V56-W50,0)))</f>
        <v>0</v>
      </c>
      <c r="X53" s="3">
        <f t="shared" ref="X53" si="516">MIN(W58,IF(X52&lt;&gt;"",X52,MAX(W56-X50,0)))</f>
        <v>0</v>
      </c>
      <c r="Y53" s="3">
        <f t="shared" ref="Y53" si="517">MIN(X58,IF(Y52&lt;&gt;"",Y52,MAX(X56-Y50,0)))</f>
        <v>0</v>
      </c>
      <c r="Z53" s="3">
        <f t="shared" ref="Z53" si="518">MIN(Y58,IF(Z52&lt;&gt;"",Z52,MAX(Y56-Z50,0)))</f>
        <v>0</v>
      </c>
      <c r="AA53" s="3">
        <f t="shared" ref="AA53" si="519">MIN(Z58,IF(AA52&lt;&gt;"",AA52,MAX(Z56-AA50,0)))</f>
        <v>0</v>
      </c>
      <c r="AB53" s="3">
        <f t="shared" ref="AB53" si="520">MIN(AA58,IF(AB52&lt;&gt;"",AB52,MAX(AA56-AB50,0)))</f>
        <v>0</v>
      </c>
      <c r="AC53" s="3">
        <f t="shared" ref="AC53" si="521">MIN(AB58,IF(AC52&lt;&gt;"",AC52,MAX(AB56-AC50,0)))</f>
        <v>0</v>
      </c>
      <c r="AD53" s="3">
        <f t="shared" ref="AD53" si="522">MIN(AC58,IF(AD52&lt;&gt;"",AD52,MAX(AC56-AD50,0)))</f>
        <v>0</v>
      </c>
      <c r="AE53" s="3">
        <f t="shared" ref="AE53" si="523">MIN(AD58,IF(AE52&lt;&gt;"",AE52,MAX(AD56-AE50,0)))</f>
        <v>0</v>
      </c>
      <c r="AF53" s="3">
        <f t="shared" ref="AF53" si="524">MIN(AE58,IF(AF52&lt;&gt;"",AF52,MAX(AE56-AF50,0)))</f>
        <v>0</v>
      </c>
      <c r="AG53" s="3">
        <f t="shared" ref="AG53" si="525">MIN(AF58,IF(AG52&lt;&gt;"",AG52,MAX(AF56-AG50,0)))</f>
        <v>0</v>
      </c>
      <c r="AH53" s="3">
        <f t="shared" ref="AH53" si="526">MIN(AG58,IF(AH52&lt;&gt;"",AH52,MAX(AG56-AH50,0)))</f>
        <v>0</v>
      </c>
      <c r="AI53" s="3">
        <f t="shared" ref="AI53" si="527">MIN(AH58,IF(AI52&lt;&gt;"",AI52,MAX(AH56-AI50,0)))</f>
        <v>0</v>
      </c>
      <c r="AJ53" s="3">
        <f t="shared" ref="AJ53" si="528">MIN(AI58,IF(AJ52&lt;&gt;"",AJ52,MAX(AI56-AJ50,0)))</f>
        <v>0</v>
      </c>
      <c r="AK53" s="3">
        <f t="shared" ref="AK53" si="529">MIN(AJ58,IF(AK52&lt;&gt;"",AK52,MAX(AJ56-AK50,0)))</f>
        <v>0</v>
      </c>
      <c r="AL53" s="3">
        <f t="shared" ref="AL53" si="530">MIN(AK58,IF(AL52&lt;&gt;"",AL52,MAX(AK56-AL50,0)))</f>
        <v>0</v>
      </c>
      <c r="AM53" s="3">
        <f t="shared" ref="AM53" si="531">MIN(AL58,IF(AM52&lt;&gt;"",AM52,MAX(AL56-AM50,0)))</f>
        <v>0</v>
      </c>
      <c r="AN53" s="3">
        <f t="shared" ref="AN53" si="532">MIN(AM58,IF(AN52&lt;&gt;"",AN52,MAX(AM56-AN50,0)))</f>
        <v>0</v>
      </c>
      <c r="AO53" s="3">
        <f t="shared" ref="AO53" si="533">MIN(AN58,IF(AO52&lt;&gt;"",AO52,MAX(AN56-AO50,0)))</f>
        <v>0</v>
      </c>
      <c r="AP53" s="3">
        <f t="shared" ref="AP53" si="534">MIN(AO58,IF(AP52&lt;&gt;"",AP52,MAX(AO56-AP50,0)))</f>
        <v>0</v>
      </c>
      <c r="AQ53" s="3">
        <f t="shared" ref="AQ53" si="535">MIN(AP58,IF(AQ52&lt;&gt;"",AQ52,MAX(AP56-AQ50,0)))</f>
        <v>0</v>
      </c>
      <c r="AR53" s="3">
        <f t="shared" ref="AR53" si="536">MIN(AQ58,IF(AR52&lt;&gt;"",AR52,MAX(AQ56-AR50,0)))</f>
        <v>0</v>
      </c>
      <c r="AS53" s="3">
        <f t="shared" ref="AS53" si="537">MIN(AR58,IF(AS52&lt;&gt;"",AS52,MAX(AR56-AS50,0)))</f>
        <v>0</v>
      </c>
      <c r="AT53" s="3">
        <f t="shared" ref="AT53" si="538">MIN(AS58,IF(AT52&lt;&gt;"",AT52,MAX(AS56-AT50,0)))</f>
        <v>0</v>
      </c>
      <c r="AU53" s="3">
        <f t="shared" ref="AU53" si="539">MIN(AT58,IF(AU52&lt;&gt;"",AU52,MAX(AT56-AU50,0)))</f>
        <v>0</v>
      </c>
      <c r="AV53" s="3">
        <f t="shared" ref="AV53" si="540">MIN(AU58,IF(AV52&lt;&gt;"",AV52,MAX(AU56-AV50,0)))</f>
        <v>0</v>
      </c>
      <c r="AW53" s="3">
        <f t="shared" ref="AW53" si="541">MIN(AV58,IF(AW52&lt;&gt;"",AW52,MAX(AV56-AW50,0)))</f>
        <v>0</v>
      </c>
      <c r="AX53" s="3">
        <f t="shared" ref="AX53" si="542">MIN(AW58,IF(AX52&lt;&gt;"",AX52,MAX(AW56-AX50,0)))</f>
        <v>0</v>
      </c>
      <c r="AY53" s="3">
        <f t="shared" ref="AY53" si="543">MIN(AX58,IF(AY52&lt;&gt;"",AY52,MAX(AX56-AY50,0)))</f>
        <v>0</v>
      </c>
      <c r="AZ53" s="3">
        <f t="shared" ref="AZ53" si="544">MIN(AY58,IF(AZ52&lt;&gt;"",AZ52,MAX(AY56-AZ50,0)))</f>
        <v>0</v>
      </c>
      <c r="BA53" s="3">
        <f>MIN(AZ58,IF(BA52&lt;&gt;"",BA52,MAX(AZ56-BA50,0)))</f>
        <v>0</v>
      </c>
      <c r="BB53" s="3">
        <f t="shared" ref="BB53:BC53" si="545">MIN(BA58,IF(BB52&lt;&gt;"",BB52,MAX(BA56-BB50,0)))</f>
        <v>0</v>
      </c>
      <c r="BC53" s="3">
        <f t="shared" si="545"/>
        <v>0</v>
      </c>
      <c r="BD53" s="3">
        <f t="shared" ref="BD53:BE53" si="546">MIN(BC58,IF(BD52&lt;&gt;"",BD52,MAX(BC56-BD50,0)))</f>
        <v>0</v>
      </c>
      <c r="BE53" s="3">
        <f t="shared" si="546"/>
        <v>0</v>
      </c>
      <c r="BF53" s="3">
        <f t="shared" ref="BF53:BG53" si="547">MIN(BE58,IF(BF52&lt;&gt;"",BF52,MAX(BE56-BF50,0)))</f>
        <v>0</v>
      </c>
      <c r="BG53" s="3">
        <f t="shared" si="547"/>
        <v>0</v>
      </c>
      <c r="BH53" s="3">
        <f t="shared" ref="BH53:BI53" si="548">MIN(BG58,IF(BH52&lt;&gt;"",BH52,MAX(BG56-BH50,0)))</f>
        <v>0</v>
      </c>
      <c r="BI53" s="3">
        <f t="shared" si="548"/>
        <v>0</v>
      </c>
      <c r="BJ53" s="3">
        <f t="shared" ref="BJ53:BK53" si="549">MIN(BI58,IF(BJ52&lt;&gt;"",BJ52,MAX(BI56-BJ50,0)))</f>
        <v>0</v>
      </c>
      <c r="BK53" s="3">
        <f t="shared" si="549"/>
        <v>0</v>
      </c>
      <c r="BL53" s="3">
        <f t="shared" ref="BL53:BM53" si="550">MIN(BK58,IF(BL52&lt;&gt;"",BL52,MAX(BK56-BL50,0)))</f>
        <v>0</v>
      </c>
      <c r="BM53" s="3">
        <f t="shared" si="550"/>
        <v>0</v>
      </c>
      <c r="BN53" s="3">
        <f t="shared" ref="BN53:BO53" si="551">MIN(BM58,IF(BN52&lt;&gt;"",BN52,MAX(BM56-BN50,0)))</f>
        <v>0</v>
      </c>
      <c r="BO53" s="3">
        <f t="shared" si="551"/>
        <v>0</v>
      </c>
      <c r="BP53" s="3">
        <f t="shared" ref="BP53:BQ53" si="552">MIN(BO58,IF(BP52&lt;&gt;"",BP52,MAX(BO56-BP50,0)))</f>
        <v>0</v>
      </c>
      <c r="BQ53" s="3">
        <f t="shared" si="552"/>
        <v>0</v>
      </c>
      <c r="BR53" s="3">
        <f t="shared" ref="BR53:BS53" si="553">MIN(BQ58,IF(BR52&lt;&gt;"",BR52,MAX(BQ56-BR50,0)))</f>
        <v>0</v>
      </c>
      <c r="BS53" s="3">
        <f t="shared" si="553"/>
        <v>0</v>
      </c>
      <c r="BT53" s="3">
        <f t="shared" ref="BT53:BU53" si="554">MIN(BS58,IF(BT52&lt;&gt;"",BT52,MAX(BS56-BT50,0)))</f>
        <v>0</v>
      </c>
      <c r="BU53" s="3">
        <f t="shared" si="554"/>
        <v>0</v>
      </c>
      <c r="BV53" s="3">
        <f t="shared" ref="BV53:BW53" si="555">MIN(BU58,IF(BV52&lt;&gt;"",BV52,MAX(BU56-BV50,0)))</f>
        <v>0</v>
      </c>
      <c r="BW53" s="3">
        <f t="shared" si="555"/>
        <v>0</v>
      </c>
      <c r="BX53" s="3">
        <f t="shared" ref="BX53:BY53" si="556">MIN(BW58,IF(BX52&lt;&gt;"",BX52,MAX(BW56-BX50,0)))</f>
        <v>0</v>
      </c>
      <c r="BY53" s="3">
        <f t="shared" si="556"/>
        <v>0</v>
      </c>
      <c r="BZ53" s="3">
        <f t="shared" ref="BZ53:CA53" si="557">MIN(BY58,IF(BZ52&lt;&gt;"",BZ52,MAX(BY56-BZ50,0)))</f>
        <v>0</v>
      </c>
      <c r="CA53" s="3">
        <f t="shared" si="557"/>
        <v>0</v>
      </c>
      <c r="CB53" s="3">
        <f t="shared" ref="CB53:CC53" si="558">MIN(CA58,IF(CB52&lt;&gt;"",CB52,MAX(CA56-CB50,0)))</f>
        <v>0</v>
      </c>
      <c r="CC53" s="3">
        <f t="shared" si="558"/>
        <v>0</v>
      </c>
      <c r="CD53" s="3">
        <f t="shared" ref="CD53:CE53" si="559">MIN(CC58,IF(CD52&lt;&gt;"",CD52,MAX(CC56-CD50,0)))</f>
        <v>0</v>
      </c>
      <c r="CE53" s="3">
        <f t="shared" si="559"/>
        <v>0</v>
      </c>
      <c r="CF53" s="3">
        <f t="shared" ref="CF53:CG53" si="560">MIN(CE58,IF(CF52&lt;&gt;"",CF52,MAX(CE56-CF50,0)))</f>
        <v>0</v>
      </c>
      <c r="CG53" s="3">
        <f t="shared" si="560"/>
        <v>0</v>
      </c>
      <c r="CH53" s="226">
        <f t="shared" ref="CH53" si="561">MIN(CG58,IF(CH52&lt;&gt;"",CH52,MAX(CG56-CH50,0)))</f>
        <v>0</v>
      </c>
    </row>
    <row r="54" spans="2:86">
      <c r="B54" s="491" t="s">
        <v>55</v>
      </c>
      <c r="C54" s="492"/>
      <c r="D54" s="31">
        <f>IF(D49&gt;0,D53/D49,)</f>
        <v>0</v>
      </c>
      <c r="E54" s="31">
        <f t="shared" ref="E54:BA54" si="562">IF(E49&gt;0,E53/E49,)</f>
        <v>0</v>
      </c>
      <c r="F54" s="31">
        <f t="shared" si="562"/>
        <v>0</v>
      </c>
      <c r="G54" s="31">
        <f t="shared" si="562"/>
        <v>0</v>
      </c>
      <c r="H54" s="31">
        <f t="shared" si="562"/>
        <v>0</v>
      </c>
      <c r="I54" s="31">
        <f t="shared" si="562"/>
        <v>0</v>
      </c>
      <c r="J54" s="31">
        <f t="shared" si="562"/>
        <v>0</v>
      </c>
      <c r="K54" s="31">
        <f t="shared" si="562"/>
        <v>0</v>
      </c>
      <c r="L54" s="31">
        <f t="shared" si="562"/>
        <v>0</v>
      </c>
      <c r="M54" s="31">
        <f t="shared" si="562"/>
        <v>0</v>
      </c>
      <c r="N54" s="31">
        <f t="shared" si="562"/>
        <v>0</v>
      </c>
      <c r="O54" s="31">
        <f t="shared" si="562"/>
        <v>0</v>
      </c>
      <c r="P54" s="31">
        <f t="shared" si="562"/>
        <v>0</v>
      </c>
      <c r="Q54" s="31">
        <f t="shared" si="562"/>
        <v>0</v>
      </c>
      <c r="R54" s="31">
        <f t="shared" si="562"/>
        <v>0</v>
      </c>
      <c r="S54" s="31">
        <f t="shared" si="562"/>
        <v>0</v>
      </c>
      <c r="T54" s="31">
        <f t="shared" si="562"/>
        <v>0</v>
      </c>
      <c r="U54" s="31">
        <f t="shared" si="562"/>
        <v>0</v>
      </c>
      <c r="V54" s="31">
        <f t="shared" si="562"/>
        <v>0</v>
      </c>
      <c r="W54" s="31">
        <f t="shared" si="562"/>
        <v>0</v>
      </c>
      <c r="X54" s="31">
        <f t="shared" si="562"/>
        <v>0</v>
      </c>
      <c r="Y54" s="31">
        <f t="shared" si="562"/>
        <v>0</v>
      </c>
      <c r="Z54" s="31">
        <f t="shared" si="562"/>
        <v>0</v>
      </c>
      <c r="AA54" s="31">
        <f t="shared" si="562"/>
        <v>0</v>
      </c>
      <c r="AB54" s="31">
        <f t="shared" si="562"/>
        <v>0</v>
      </c>
      <c r="AC54" s="31">
        <f t="shared" si="562"/>
        <v>0</v>
      </c>
      <c r="AD54" s="31">
        <f t="shared" si="562"/>
        <v>0</v>
      </c>
      <c r="AE54" s="31">
        <f t="shared" si="562"/>
        <v>0</v>
      </c>
      <c r="AF54" s="31">
        <f t="shared" si="562"/>
        <v>0</v>
      </c>
      <c r="AG54" s="31">
        <f t="shared" si="562"/>
        <v>0</v>
      </c>
      <c r="AH54" s="31">
        <f t="shared" si="562"/>
        <v>0</v>
      </c>
      <c r="AI54" s="31">
        <f t="shared" si="562"/>
        <v>0</v>
      </c>
      <c r="AJ54" s="31">
        <f t="shared" si="562"/>
        <v>0</v>
      </c>
      <c r="AK54" s="31">
        <f t="shared" si="562"/>
        <v>0</v>
      </c>
      <c r="AL54" s="31">
        <f t="shared" si="562"/>
        <v>0</v>
      </c>
      <c r="AM54" s="31">
        <f t="shared" si="562"/>
        <v>0</v>
      </c>
      <c r="AN54" s="31">
        <f t="shared" si="562"/>
        <v>0</v>
      </c>
      <c r="AO54" s="31">
        <f t="shared" si="562"/>
        <v>0</v>
      </c>
      <c r="AP54" s="31">
        <f t="shared" si="562"/>
        <v>0</v>
      </c>
      <c r="AQ54" s="31">
        <f t="shared" si="562"/>
        <v>0</v>
      </c>
      <c r="AR54" s="31">
        <f t="shared" si="562"/>
        <v>0</v>
      </c>
      <c r="AS54" s="31">
        <f t="shared" si="562"/>
        <v>0</v>
      </c>
      <c r="AT54" s="31">
        <f t="shared" si="562"/>
        <v>0</v>
      </c>
      <c r="AU54" s="31">
        <f t="shared" si="562"/>
        <v>0</v>
      </c>
      <c r="AV54" s="31">
        <f t="shared" si="562"/>
        <v>0</v>
      </c>
      <c r="AW54" s="31">
        <f t="shared" si="562"/>
        <v>0</v>
      </c>
      <c r="AX54" s="31">
        <f t="shared" si="562"/>
        <v>0</v>
      </c>
      <c r="AY54" s="31">
        <f t="shared" si="562"/>
        <v>0</v>
      </c>
      <c r="AZ54" s="31">
        <f t="shared" si="562"/>
        <v>0</v>
      </c>
      <c r="BA54" s="31">
        <f t="shared" si="562"/>
        <v>0</v>
      </c>
      <c r="BB54" s="31">
        <f t="shared" ref="BB54:CH54" si="563">IF(BB49&gt;0,BB53/BB49,)</f>
        <v>0</v>
      </c>
      <c r="BC54" s="31">
        <f t="shared" si="563"/>
        <v>0</v>
      </c>
      <c r="BD54" s="31">
        <f t="shared" si="563"/>
        <v>0</v>
      </c>
      <c r="BE54" s="31">
        <f t="shared" si="563"/>
        <v>0</v>
      </c>
      <c r="BF54" s="31">
        <f t="shared" si="563"/>
        <v>0</v>
      </c>
      <c r="BG54" s="31">
        <f t="shared" si="563"/>
        <v>0</v>
      </c>
      <c r="BH54" s="31">
        <f t="shared" si="563"/>
        <v>0</v>
      </c>
      <c r="BI54" s="31">
        <f t="shared" si="563"/>
        <v>0</v>
      </c>
      <c r="BJ54" s="31">
        <f t="shared" si="563"/>
        <v>0</v>
      </c>
      <c r="BK54" s="31">
        <f t="shared" si="563"/>
        <v>0</v>
      </c>
      <c r="BL54" s="31">
        <f t="shared" si="563"/>
        <v>0</v>
      </c>
      <c r="BM54" s="31">
        <f t="shared" si="563"/>
        <v>0</v>
      </c>
      <c r="BN54" s="31">
        <f t="shared" si="563"/>
        <v>0</v>
      </c>
      <c r="BO54" s="31">
        <f t="shared" si="563"/>
        <v>0</v>
      </c>
      <c r="BP54" s="31">
        <f t="shared" si="563"/>
        <v>0</v>
      </c>
      <c r="BQ54" s="31">
        <f t="shared" si="563"/>
        <v>0</v>
      </c>
      <c r="BR54" s="31">
        <f t="shared" si="563"/>
        <v>0</v>
      </c>
      <c r="BS54" s="31">
        <f t="shared" si="563"/>
        <v>0</v>
      </c>
      <c r="BT54" s="31">
        <f t="shared" si="563"/>
        <v>0</v>
      </c>
      <c r="BU54" s="31">
        <f t="shared" si="563"/>
        <v>0</v>
      </c>
      <c r="BV54" s="31">
        <f t="shared" si="563"/>
        <v>0</v>
      </c>
      <c r="BW54" s="31">
        <f t="shared" si="563"/>
        <v>0</v>
      </c>
      <c r="BX54" s="31">
        <f t="shared" si="563"/>
        <v>0</v>
      </c>
      <c r="BY54" s="31">
        <f t="shared" si="563"/>
        <v>0</v>
      </c>
      <c r="BZ54" s="31">
        <f t="shared" si="563"/>
        <v>0</v>
      </c>
      <c r="CA54" s="31">
        <f t="shared" si="563"/>
        <v>0</v>
      </c>
      <c r="CB54" s="31">
        <f t="shared" si="563"/>
        <v>0</v>
      </c>
      <c r="CC54" s="31">
        <f t="shared" si="563"/>
        <v>0</v>
      </c>
      <c r="CD54" s="31">
        <f t="shared" si="563"/>
        <v>0</v>
      </c>
      <c r="CE54" s="31">
        <f t="shared" si="563"/>
        <v>0</v>
      </c>
      <c r="CF54" s="31">
        <f t="shared" si="563"/>
        <v>0</v>
      </c>
      <c r="CG54" s="31">
        <f t="shared" si="563"/>
        <v>0</v>
      </c>
      <c r="CH54" s="231">
        <f t="shared" si="563"/>
        <v>0</v>
      </c>
    </row>
    <row r="55" spans="2:86" ht="9.75" customHeight="1">
      <c r="B55" s="275"/>
      <c r="I55" s="5"/>
      <c r="J55" s="5"/>
      <c r="K55" s="5"/>
      <c r="L55" s="5"/>
      <c r="CH55" s="232"/>
    </row>
    <row r="56" spans="2:86">
      <c r="B56" s="457" t="s">
        <v>46</v>
      </c>
      <c r="C56" s="458"/>
      <c r="D56" s="3">
        <f t="shared" ref="D56:BA56" si="564">D50+D53</f>
        <v>0</v>
      </c>
      <c r="E56" s="3">
        <f t="shared" si="564"/>
        <v>0</v>
      </c>
      <c r="F56" s="3">
        <f t="shared" si="564"/>
        <v>0</v>
      </c>
      <c r="G56" s="3">
        <f t="shared" si="564"/>
        <v>0</v>
      </c>
      <c r="H56" s="3">
        <f t="shared" si="564"/>
        <v>0</v>
      </c>
      <c r="I56" s="3">
        <f t="shared" si="564"/>
        <v>0</v>
      </c>
      <c r="J56" s="3">
        <f t="shared" si="564"/>
        <v>0</v>
      </c>
      <c r="K56" s="3">
        <f t="shared" si="564"/>
        <v>0</v>
      </c>
      <c r="L56" s="3">
        <f t="shared" si="564"/>
        <v>0</v>
      </c>
      <c r="M56" s="3">
        <f t="shared" si="564"/>
        <v>0</v>
      </c>
      <c r="N56" s="3">
        <f t="shared" si="564"/>
        <v>0</v>
      </c>
      <c r="O56" s="3">
        <f t="shared" si="564"/>
        <v>0</v>
      </c>
      <c r="P56" s="3">
        <f t="shared" si="564"/>
        <v>0</v>
      </c>
      <c r="Q56" s="3">
        <f t="shared" si="564"/>
        <v>0</v>
      </c>
      <c r="R56" s="3">
        <f t="shared" si="564"/>
        <v>0</v>
      </c>
      <c r="S56" s="3">
        <f t="shared" si="564"/>
        <v>0</v>
      </c>
      <c r="T56" s="3">
        <f t="shared" si="564"/>
        <v>0</v>
      </c>
      <c r="U56" s="3">
        <f t="shared" si="564"/>
        <v>0</v>
      </c>
      <c r="V56" s="3">
        <f t="shared" si="564"/>
        <v>0</v>
      </c>
      <c r="W56" s="3">
        <f t="shared" si="564"/>
        <v>0</v>
      </c>
      <c r="X56" s="3">
        <f t="shared" si="564"/>
        <v>0</v>
      </c>
      <c r="Y56" s="3">
        <f t="shared" si="564"/>
        <v>0</v>
      </c>
      <c r="Z56" s="3">
        <f t="shared" si="564"/>
        <v>0</v>
      </c>
      <c r="AA56" s="3">
        <f t="shared" si="564"/>
        <v>0</v>
      </c>
      <c r="AB56" s="3">
        <f t="shared" si="564"/>
        <v>0</v>
      </c>
      <c r="AC56" s="3">
        <f t="shared" si="564"/>
        <v>0</v>
      </c>
      <c r="AD56" s="3">
        <f t="shared" si="564"/>
        <v>0</v>
      </c>
      <c r="AE56" s="3">
        <f t="shared" si="564"/>
        <v>0</v>
      </c>
      <c r="AF56" s="3">
        <f t="shared" si="564"/>
        <v>0</v>
      </c>
      <c r="AG56" s="3">
        <f t="shared" si="564"/>
        <v>0</v>
      </c>
      <c r="AH56" s="3">
        <f t="shared" si="564"/>
        <v>0</v>
      </c>
      <c r="AI56" s="3">
        <f t="shared" si="564"/>
        <v>0</v>
      </c>
      <c r="AJ56" s="3">
        <f t="shared" si="564"/>
        <v>0</v>
      </c>
      <c r="AK56" s="3">
        <f t="shared" si="564"/>
        <v>0</v>
      </c>
      <c r="AL56" s="3">
        <f t="shared" si="564"/>
        <v>0</v>
      </c>
      <c r="AM56" s="3">
        <f t="shared" si="564"/>
        <v>0</v>
      </c>
      <c r="AN56" s="3">
        <f t="shared" si="564"/>
        <v>0</v>
      </c>
      <c r="AO56" s="3">
        <f t="shared" si="564"/>
        <v>0</v>
      </c>
      <c r="AP56" s="3">
        <f t="shared" si="564"/>
        <v>0</v>
      </c>
      <c r="AQ56" s="3">
        <f t="shared" si="564"/>
        <v>0</v>
      </c>
      <c r="AR56" s="3">
        <f t="shared" si="564"/>
        <v>0</v>
      </c>
      <c r="AS56" s="3">
        <f t="shared" si="564"/>
        <v>0</v>
      </c>
      <c r="AT56" s="3">
        <f t="shared" si="564"/>
        <v>0</v>
      </c>
      <c r="AU56" s="3">
        <f t="shared" si="564"/>
        <v>0</v>
      </c>
      <c r="AV56" s="3">
        <f t="shared" si="564"/>
        <v>0</v>
      </c>
      <c r="AW56" s="3">
        <f t="shared" si="564"/>
        <v>0</v>
      </c>
      <c r="AX56" s="3">
        <f t="shared" si="564"/>
        <v>0</v>
      </c>
      <c r="AY56" s="3">
        <f t="shared" si="564"/>
        <v>0</v>
      </c>
      <c r="AZ56" s="3">
        <f t="shared" si="564"/>
        <v>0</v>
      </c>
      <c r="BA56" s="3">
        <f t="shared" si="564"/>
        <v>0</v>
      </c>
      <c r="BB56" s="3">
        <f t="shared" ref="BB56:CH56" si="565">BB50+BB53</f>
        <v>0</v>
      </c>
      <c r="BC56" s="3">
        <f t="shared" si="565"/>
        <v>0</v>
      </c>
      <c r="BD56" s="3">
        <f t="shared" si="565"/>
        <v>0</v>
      </c>
      <c r="BE56" s="3">
        <f t="shared" si="565"/>
        <v>0</v>
      </c>
      <c r="BF56" s="3">
        <f t="shared" si="565"/>
        <v>0</v>
      </c>
      <c r="BG56" s="3">
        <f t="shared" si="565"/>
        <v>0</v>
      </c>
      <c r="BH56" s="3">
        <f t="shared" si="565"/>
        <v>0</v>
      </c>
      <c r="BI56" s="3">
        <f t="shared" si="565"/>
        <v>0</v>
      </c>
      <c r="BJ56" s="3">
        <f t="shared" si="565"/>
        <v>0</v>
      </c>
      <c r="BK56" s="3">
        <f t="shared" si="565"/>
        <v>0</v>
      </c>
      <c r="BL56" s="3">
        <f t="shared" si="565"/>
        <v>0</v>
      </c>
      <c r="BM56" s="3">
        <f t="shared" si="565"/>
        <v>0</v>
      </c>
      <c r="BN56" s="3">
        <f t="shared" si="565"/>
        <v>0</v>
      </c>
      <c r="BO56" s="3">
        <f t="shared" si="565"/>
        <v>0</v>
      </c>
      <c r="BP56" s="3">
        <f t="shared" si="565"/>
        <v>0</v>
      </c>
      <c r="BQ56" s="3">
        <f t="shared" si="565"/>
        <v>0</v>
      </c>
      <c r="BR56" s="3">
        <f t="shared" si="565"/>
        <v>0</v>
      </c>
      <c r="BS56" s="3">
        <f t="shared" si="565"/>
        <v>0</v>
      </c>
      <c r="BT56" s="3">
        <f t="shared" si="565"/>
        <v>0</v>
      </c>
      <c r="BU56" s="3">
        <f t="shared" si="565"/>
        <v>0</v>
      </c>
      <c r="BV56" s="3">
        <f t="shared" si="565"/>
        <v>0</v>
      </c>
      <c r="BW56" s="3">
        <f t="shared" si="565"/>
        <v>0</v>
      </c>
      <c r="BX56" s="3">
        <f t="shared" si="565"/>
        <v>0</v>
      </c>
      <c r="BY56" s="3">
        <f t="shared" si="565"/>
        <v>0</v>
      </c>
      <c r="BZ56" s="3">
        <f t="shared" si="565"/>
        <v>0</v>
      </c>
      <c r="CA56" s="3">
        <f t="shared" si="565"/>
        <v>0</v>
      </c>
      <c r="CB56" s="3">
        <f t="shared" si="565"/>
        <v>0</v>
      </c>
      <c r="CC56" s="3">
        <f t="shared" si="565"/>
        <v>0</v>
      </c>
      <c r="CD56" s="3">
        <f t="shared" si="565"/>
        <v>0</v>
      </c>
      <c r="CE56" s="3">
        <f t="shared" si="565"/>
        <v>0</v>
      </c>
      <c r="CF56" s="3">
        <f t="shared" si="565"/>
        <v>0</v>
      </c>
      <c r="CG56" s="3">
        <f t="shared" si="565"/>
        <v>0</v>
      </c>
      <c r="CH56" s="226">
        <f t="shared" si="565"/>
        <v>0</v>
      </c>
    </row>
    <row r="57" spans="2:86">
      <c r="B57" s="457" t="s">
        <v>63</v>
      </c>
      <c r="C57" s="458"/>
      <c r="D57" s="238"/>
      <c r="E57" s="238"/>
      <c r="F57" s="238"/>
      <c r="G57" s="238"/>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8"/>
      <c r="AY57" s="238"/>
      <c r="AZ57" s="238"/>
      <c r="BA57" s="238"/>
      <c r="BB57" s="238"/>
      <c r="BC57" s="238"/>
      <c r="BD57" s="238"/>
      <c r="BE57" s="238"/>
      <c r="BF57" s="238"/>
      <c r="BG57" s="238"/>
      <c r="BH57" s="238"/>
      <c r="BI57" s="238"/>
      <c r="BJ57" s="238"/>
      <c r="BK57" s="238"/>
      <c r="BL57" s="238"/>
      <c r="BM57" s="238"/>
      <c r="BN57" s="238"/>
      <c r="BO57" s="238"/>
      <c r="BP57" s="238"/>
      <c r="BQ57" s="238"/>
      <c r="BR57" s="238"/>
      <c r="BS57" s="238"/>
      <c r="BT57" s="238"/>
      <c r="BU57" s="238"/>
      <c r="BV57" s="238"/>
      <c r="BW57" s="238"/>
      <c r="BX57" s="238"/>
      <c r="BY57" s="238"/>
      <c r="BZ57" s="238"/>
      <c r="CA57" s="238"/>
      <c r="CB57" s="238"/>
      <c r="CC57" s="238"/>
      <c r="CD57" s="238"/>
      <c r="CE57" s="238"/>
      <c r="CF57" s="238"/>
      <c r="CG57" s="238"/>
      <c r="CH57" s="239"/>
    </row>
    <row r="58" spans="2:86">
      <c r="B58" s="457" t="s">
        <v>48</v>
      </c>
      <c r="C58" s="458"/>
      <c r="D58" s="3">
        <f t="shared" ref="D58:BA58" si="566">MAX(D49-D53-D57,0)</f>
        <v>0</v>
      </c>
      <c r="E58" s="3">
        <f t="shared" si="566"/>
        <v>0</v>
      </c>
      <c r="F58" s="3">
        <f t="shared" si="566"/>
        <v>0</v>
      </c>
      <c r="G58" s="3">
        <f t="shared" si="566"/>
        <v>0</v>
      </c>
      <c r="H58" s="3">
        <f t="shared" si="566"/>
        <v>0</v>
      </c>
      <c r="I58" s="3">
        <f t="shared" si="566"/>
        <v>0</v>
      </c>
      <c r="J58" s="3">
        <f t="shared" si="566"/>
        <v>0</v>
      </c>
      <c r="K58" s="3">
        <f t="shared" si="566"/>
        <v>0</v>
      </c>
      <c r="L58" s="3">
        <f t="shared" si="566"/>
        <v>0</v>
      </c>
      <c r="M58" s="3">
        <f t="shared" si="566"/>
        <v>0</v>
      </c>
      <c r="N58" s="3">
        <f t="shared" si="566"/>
        <v>0</v>
      </c>
      <c r="O58" s="3">
        <f t="shared" si="566"/>
        <v>0</v>
      </c>
      <c r="P58" s="3">
        <f t="shared" si="566"/>
        <v>0</v>
      </c>
      <c r="Q58" s="3">
        <f t="shared" si="566"/>
        <v>0</v>
      </c>
      <c r="R58" s="3">
        <f t="shared" si="566"/>
        <v>0</v>
      </c>
      <c r="S58" s="3">
        <f t="shared" si="566"/>
        <v>0</v>
      </c>
      <c r="T58" s="3">
        <f t="shared" si="566"/>
        <v>0</v>
      </c>
      <c r="U58" s="3">
        <f t="shared" si="566"/>
        <v>0</v>
      </c>
      <c r="V58" s="3">
        <f t="shared" si="566"/>
        <v>0</v>
      </c>
      <c r="W58" s="3">
        <f t="shared" si="566"/>
        <v>0</v>
      </c>
      <c r="X58" s="3">
        <f t="shared" si="566"/>
        <v>0</v>
      </c>
      <c r="Y58" s="3">
        <f t="shared" si="566"/>
        <v>0</v>
      </c>
      <c r="Z58" s="3">
        <f t="shared" si="566"/>
        <v>0</v>
      </c>
      <c r="AA58" s="3">
        <f t="shared" si="566"/>
        <v>0</v>
      </c>
      <c r="AB58" s="3">
        <f t="shared" si="566"/>
        <v>0</v>
      </c>
      <c r="AC58" s="3">
        <f t="shared" si="566"/>
        <v>0</v>
      </c>
      <c r="AD58" s="3">
        <f t="shared" si="566"/>
        <v>0</v>
      </c>
      <c r="AE58" s="3">
        <f t="shared" si="566"/>
        <v>0</v>
      </c>
      <c r="AF58" s="3">
        <f t="shared" si="566"/>
        <v>0</v>
      </c>
      <c r="AG58" s="3">
        <f t="shared" si="566"/>
        <v>0</v>
      </c>
      <c r="AH58" s="3">
        <f t="shared" si="566"/>
        <v>0</v>
      </c>
      <c r="AI58" s="3">
        <f t="shared" si="566"/>
        <v>0</v>
      </c>
      <c r="AJ58" s="3">
        <f t="shared" si="566"/>
        <v>0</v>
      </c>
      <c r="AK58" s="3">
        <f t="shared" si="566"/>
        <v>0</v>
      </c>
      <c r="AL58" s="3">
        <f t="shared" si="566"/>
        <v>0</v>
      </c>
      <c r="AM58" s="3">
        <f t="shared" si="566"/>
        <v>0</v>
      </c>
      <c r="AN58" s="3">
        <f t="shared" si="566"/>
        <v>0</v>
      </c>
      <c r="AO58" s="3">
        <f t="shared" si="566"/>
        <v>0</v>
      </c>
      <c r="AP58" s="3">
        <f t="shared" si="566"/>
        <v>0</v>
      </c>
      <c r="AQ58" s="3">
        <f t="shared" si="566"/>
        <v>0</v>
      </c>
      <c r="AR58" s="3">
        <f t="shared" si="566"/>
        <v>0</v>
      </c>
      <c r="AS58" s="3">
        <f t="shared" si="566"/>
        <v>0</v>
      </c>
      <c r="AT58" s="3">
        <f t="shared" si="566"/>
        <v>0</v>
      </c>
      <c r="AU58" s="3">
        <f t="shared" si="566"/>
        <v>0</v>
      </c>
      <c r="AV58" s="3">
        <f t="shared" si="566"/>
        <v>0</v>
      </c>
      <c r="AW58" s="3">
        <f t="shared" si="566"/>
        <v>0</v>
      </c>
      <c r="AX58" s="3">
        <f t="shared" si="566"/>
        <v>0</v>
      </c>
      <c r="AY58" s="3">
        <f t="shared" si="566"/>
        <v>0</v>
      </c>
      <c r="AZ58" s="3">
        <f t="shared" si="566"/>
        <v>0</v>
      </c>
      <c r="BA58" s="3">
        <f t="shared" si="566"/>
        <v>0</v>
      </c>
      <c r="BB58" s="3">
        <f t="shared" ref="BB58:CH58" si="567">MAX(BB49-BB53-BB57,0)</f>
        <v>0</v>
      </c>
      <c r="BC58" s="3">
        <f t="shared" si="567"/>
        <v>0</v>
      </c>
      <c r="BD58" s="3">
        <f t="shared" si="567"/>
        <v>0</v>
      </c>
      <c r="BE58" s="3">
        <f t="shared" si="567"/>
        <v>0</v>
      </c>
      <c r="BF58" s="3">
        <f t="shared" si="567"/>
        <v>0</v>
      </c>
      <c r="BG58" s="3">
        <f t="shared" si="567"/>
        <v>0</v>
      </c>
      <c r="BH58" s="3">
        <f t="shared" si="567"/>
        <v>0</v>
      </c>
      <c r="BI58" s="3">
        <f t="shared" si="567"/>
        <v>0</v>
      </c>
      <c r="BJ58" s="3">
        <f t="shared" si="567"/>
        <v>0</v>
      </c>
      <c r="BK58" s="3">
        <f t="shared" si="567"/>
        <v>0</v>
      </c>
      <c r="BL58" s="3">
        <f t="shared" si="567"/>
        <v>0</v>
      </c>
      <c r="BM58" s="3">
        <f t="shared" si="567"/>
        <v>0</v>
      </c>
      <c r="BN58" s="3">
        <f t="shared" si="567"/>
        <v>0</v>
      </c>
      <c r="BO58" s="3">
        <f t="shared" si="567"/>
        <v>0</v>
      </c>
      <c r="BP58" s="3">
        <f t="shared" si="567"/>
        <v>0</v>
      </c>
      <c r="BQ58" s="3">
        <f t="shared" si="567"/>
        <v>0</v>
      </c>
      <c r="BR58" s="3">
        <f t="shared" si="567"/>
        <v>0</v>
      </c>
      <c r="BS58" s="3">
        <f t="shared" si="567"/>
        <v>0</v>
      </c>
      <c r="BT58" s="3">
        <f t="shared" si="567"/>
        <v>0</v>
      </c>
      <c r="BU58" s="3">
        <f t="shared" si="567"/>
        <v>0</v>
      </c>
      <c r="BV58" s="3">
        <f t="shared" si="567"/>
        <v>0</v>
      </c>
      <c r="BW58" s="3">
        <f t="shared" si="567"/>
        <v>0</v>
      </c>
      <c r="BX58" s="3">
        <f t="shared" si="567"/>
        <v>0</v>
      </c>
      <c r="BY58" s="3">
        <f t="shared" si="567"/>
        <v>0</v>
      </c>
      <c r="BZ58" s="3">
        <f t="shared" si="567"/>
        <v>0</v>
      </c>
      <c r="CA58" s="3">
        <f t="shared" si="567"/>
        <v>0</v>
      </c>
      <c r="CB58" s="3">
        <f t="shared" si="567"/>
        <v>0</v>
      </c>
      <c r="CC58" s="3">
        <f t="shared" si="567"/>
        <v>0</v>
      </c>
      <c r="CD58" s="3">
        <f t="shared" si="567"/>
        <v>0</v>
      </c>
      <c r="CE58" s="3">
        <f t="shared" si="567"/>
        <v>0</v>
      </c>
      <c r="CF58" s="3">
        <f t="shared" si="567"/>
        <v>0</v>
      </c>
      <c r="CG58" s="3">
        <f t="shared" si="567"/>
        <v>0</v>
      </c>
      <c r="CH58" s="226">
        <f t="shared" si="567"/>
        <v>0</v>
      </c>
    </row>
    <row r="59" spans="2:86" ht="16" thickBot="1">
      <c r="B59" s="462" t="s">
        <v>26</v>
      </c>
      <c r="C59" s="463"/>
      <c r="D59" s="233">
        <f>D56/12</f>
        <v>0</v>
      </c>
      <c r="E59" s="233">
        <f t="shared" ref="E59:BA59" si="568">E56/12</f>
        <v>0</v>
      </c>
      <c r="F59" s="233">
        <f t="shared" si="568"/>
        <v>0</v>
      </c>
      <c r="G59" s="233">
        <f t="shared" si="568"/>
        <v>0</v>
      </c>
      <c r="H59" s="233">
        <f t="shared" si="568"/>
        <v>0</v>
      </c>
      <c r="I59" s="233">
        <f t="shared" si="568"/>
        <v>0</v>
      </c>
      <c r="J59" s="233">
        <f t="shared" si="568"/>
        <v>0</v>
      </c>
      <c r="K59" s="233">
        <f t="shared" si="568"/>
        <v>0</v>
      </c>
      <c r="L59" s="233">
        <f t="shared" si="568"/>
        <v>0</v>
      </c>
      <c r="M59" s="233">
        <f t="shared" si="568"/>
        <v>0</v>
      </c>
      <c r="N59" s="233">
        <f t="shared" si="568"/>
        <v>0</v>
      </c>
      <c r="O59" s="233">
        <f t="shared" si="568"/>
        <v>0</v>
      </c>
      <c r="P59" s="233">
        <f t="shared" si="568"/>
        <v>0</v>
      </c>
      <c r="Q59" s="233">
        <f t="shared" si="568"/>
        <v>0</v>
      </c>
      <c r="R59" s="233">
        <f t="shared" si="568"/>
        <v>0</v>
      </c>
      <c r="S59" s="233">
        <f t="shared" si="568"/>
        <v>0</v>
      </c>
      <c r="T59" s="233">
        <f t="shared" si="568"/>
        <v>0</v>
      </c>
      <c r="U59" s="233">
        <f t="shared" si="568"/>
        <v>0</v>
      </c>
      <c r="V59" s="233">
        <f t="shared" si="568"/>
        <v>0</v>
      </c>
      <c r="W59" s="233">
        <f t="shared" si="568"/>
        <v>0</v>
      </c>
      <c r="X59" s="233">
        <f t="shared" si="568"/>
        <v>0</v>
      </c>
      <c r="Y59" s="233">
        <f t="shared" si="568"/>
        <v>0</v>
      </c>
      <c r="Z59" s="233">
        <f t="shared" si="568"/>
        <v>0</v>
      </c>
      <c r="AA59" s="233">
        <f t="shared" si="568"/>
        <v>0</v>
      </c>
      <c r="AB59" s="233">
        <f t="shared" si="568"/>
        <v>0</v>
      </c>
      <c r="AC59" s="233">
        <f t="shared" si="568"/>
        <v>0</v>
      </c>
      <c r="AD59" s="233">
        <f t="shared" si="568"/>
        <v>0</v>
      </c>
      <c r="AE59" s="233">
        <f t="shared" si="568"/>
        <v>0</v>
      </c>
      <c r="AF59" s="233">
        <f t="shared" si="568"/>
        <v>0</v>
      </c>
      <c r="AG59" s="233">
        <f t="shared" si="568"/>
        <v>0</v>
      </c>
      <c r="AH59" s="233">
        <f t="shared" si="568"/>
        <v>0</v>
      </c>
      <c r="AI59" s="233">
        <f t="shared" si="568"/>
        <v>0</v>
      </c>
      <c r="AJ59" s="233">
        <f t="shared" si="568"/>
        <v>0</v>
      </c>
      <c r="AK59" s="233">
        <f t="shared" si="568"/>
        <v>0</v>
      </c>
      <c r="AL59" s="233">
        <f t="shared" si="568"/>
        <v>0</v>
      </c>
      <c r="AM59" s="233">
        <f t="shared" si="568"/>
        <v>0</v>
      </c>
      <c r="AN59" s="233">
        <f t="shared" si="568"/>
        <v>0</v>
      </c>
      <c r="AO59" s="233">
        <f t="shared" si="568"/>
        <v>0</v>
      </c>
      <c r="AP59" s="233">
        <f t="shared" si="568"/>
        <v>0</v>
      </c>
      <c r="AQ59" s="233">
        <f t="shared" si="568"/>
        <v>0</v>
      </c>
      <c r="AR59" s="233">
        <f t="shared" si="568"/>
        <v>0</v>
      </c>
      <c r="AS59" s="233">
        <f t="shared" si="568"/>
        <v>0</v>
      </c>
      <c r="AT59" s="233">
        <f t="shared" si="568"/>
        <v>0</v>
      </c>
      <c r="AU59" s="233">
        <f t="shared" si="568"/>
        <v>0</v>
      </c>
      <c r="AV59" s="233">
        <f t="shared" si="568"/>
        <v>0</v>
      </c>
      <c r="AW59" s="233">
        <f t="shared" si="568"/>
        <v>0</v>
      </c>
      <c r="AX59" s="233">
        <f t="shared" si="568"/>
        <v>0</v>
      </c>
      <c r="AY59" s="233">
        <f t="shared" si="568"/>
        <v>0</v>
      </c>
      <c r="AZ59" s="233">
        <f t="shared" si="568"/>
        <v>0</v>
      </c>
      <c r="BA59" s="233">
        <f t="shared" si="568"/>
        <v>0</v>
      </c>
      <c r="BB59" s="233">
        <f t="shared" ref="BB59:CH59" si="569">BB56/12</f>
        <v>0</v>
      </c>
      <c r="BC59" s="233">
        <f t="shared" si="569"/>
        <v>0</v>
      </c>
      <c r="BD59" s="233">
        <f t="shared" si="569"/>
        <v>0</v>
      </c>
      <c r="BE59" s="233">
        <f t="shared" si="569"/>
        <v>0</v>
      </c>
      <c r="BF59" s="233">
        <f t="shared" si="569"/>
        <v>0</v>
      </c>
      <c r="BG59" s="233">
        <f t="shared" si="569"/>
        <v>0</v>
      </c>
      <c r="BH59" s="233">
        <f t="shared" si="569"/>
        <v>0</v>
      </c>
      <c r="BI59" s="233">
        <f t="shared" si="569"/>
        <v>0</v>
      </c>
      <c r="BJ59" s="233">
        <f t="shared" si="569"/>
        <v>0</v>
      </c>
      <c r="BK59" s="233">
        <f t="shared" si="569"/>
        <v>0</v>
      </c>
      <c r="BL59" s="233">
        <f t="shared" si="569"/>
        <v>0</v>
      </c>
      <c r="BM59" s="233">
        <f t="shared" si="569"/>
        <v>0</v>
      </c>
      <c r="BN59" s="233">
        <f t="shared" si="569"/>
        <v>0</v>
      </c>
      <c r="BO59" s="233">
        <f t="shared" si="569"/>
        <v>0</v>
      </c>
      <c r="BP59" s="233">
        <f t="shared" si="569"/>
        <v>0</v>
      </c>
      <c r="BQ59" s="233">
        <f t="shared" si="569"/>
        <v>0</v>
      </c>
      <c r="BR59" s="233">
        <f t="shared" si="569"/>
        <v>0</v>
      </c>
      <c r="BS59" s="233">
        <f t="shared" si="569"/>
        <v>0</v>
      </c>
      <c r="BT59" s="233">
        <f t="shared" si="569"/>
        <v>0</v>
      </c>
      <c r="BU59" s="233">
        <f t="shared" si="569"/>
        <v>0</v>
      </c>
      <c r="BV59" s="233">
        <f t="shared" si="569"/>
        <v>0</v>
      </c>
      <c r="BW59" s="233">
        <f t="shared" si="569"/>
        <v>0</v>
      </c>
      <c r="BX59" s="233">
        <f t="shared" si="569"/>
        <v>0</v>
      </c>
      <c r="BY59" s="233">
        <f t="shared" si="569"/>
        <v>0</v>
      </c>
      <c r="BZ59" s="233">
        <f t="shared" si="569"/>
        <v>0</v>
      </c>
      <c r="CA59" s="233">
        <f t="shared" si="569"/>
        <v>0</v>
      </c>
      <c r="CB59" s="233">
        <f t="shared" si="569"/>
        <v>0</v>
      </c>
      <c r="CC59" s="233">
        <f t="shared" si="569"/>
        <v>0</v>
      </c>
      <c r="CD59" s="233">
        <f t="shared" si="569"/>
        <v>0</v>
      </c>
      <c r="CE59" s="233">
        <f t="shared" si="569"/>
        <v>0</v>
      </c>
      <c r="CF59" s="233">
        <f t="shared" si="569"/>
        <v>0</v>
      </c>
      <c r="CG59" s="233">
        <f t="shared" si="569"/>
        <v>0</v>
      </c>
      <c r="CH59" s="234">
        <f t="shared" si="569"/>
        <v>0</v>
      </c>
    </row>
    <row r="60" spans="2:86" ht="16" thickBot="1">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row>
    <row r="61" spans="2:86" ht="17" thickBot="1">
      <c r="B61" s="211" t="s">
        <v>220</v>
      </c>
      <c r="C61" s="33"/>
      <c r="D61" s="34"/>
      <c r="E61" s="34"/>
      <c r="F61" s="34"/>
      <c r="G61" s="34"/>
      <c r="H61" s="34"/>
      <c r="I61" s="34"/>
      <c r="J61" s="34"/>
      <c r="K61" s="34"/>
      <c r="L61" s="34"/>
      <c r="M61" s="34"/>
      <c r="N61" s="34"/>
      <c r="O61" s="34"/>
      <c r="P61" s="34"/>
      <c r="Q61" s="34"/>
      <c r="R61" s="34"/>
      <c r="S61" s="34"/>
      <c r="T61" s="34"/>
      <c r="U61" s="34"/>
      <c r="V61" s="34"/>
      <c r="W61" s="34"/>
      <c r="X61" s="34"/>
      <c r="Y61" s="34"/>
      <c r="Z61" s="34"/>
      <c r="AA61" s="34"/>
      <c r="AB61" s="34"/>
      <c r="AC61" s="34"/>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row>
    <row r="62" spans="2:86" ht="16" thickBot="1">
      <c r="B62" s="214" t="s">
        <v>47</v>
      </c>
      <c r="C62" s="215"/>
      <c r="D62" s="216">
        <f ca="1">D$13</f>
        <v>2024</v>
      </c>
      <c r="E62" s="217">
        <f t="shared" ref="E62:BP62" ca="1" si="570">E$13</f>
        <v>2025</v>
      </c>
      <c r="F62" s="217">
        <f t="shared" ca="1" si="570"/>
        <v>2026</v>
      </c>
      <c r="G62" s="217">
        <f t="shared" ca="1" si="570"/>
        <v>2027</v>
      </c>
      <c r="H62" s="217">
        <f t="shared" ca="1" si="570"/>
        <v>2028</v>
      </c>
      <c r="I62" s="217">
        <f t="shared" ca="1" si="570"/>
        <v>2029</v>
      </c>
      <c r="J62" s="217">
        <f t="shared" ca="1" si="570"/>
        <v>2030</v>
      </c>
      <c r="K62" s="217">
        <f t="shared" ca="1" si="570"/>
        <v>2031</v>
      </c>
      <c r="L62" s="217">
        <f t="shared" ca="1" si="570"/>
        <v>2032</v>
      </c>
      <c r="M62" s="217">
        <f t="shared" ca="1" si="570"/>
        <v>2033</v>
      </c>
      <c r="N62" s="217">
        <f t="shared" ca="1" si="570"/>
        <v>2034</v>
      </c>
      <c r="O62" s="217">
        <f t="shared" ca="1" si="570"/>
        <v>2035</v>
      </c>
      <c r="P62" s="217">
        <f t="shared" ca="1" si="570"/>
        <v>2036</v>
      </c>
      <c r="Q62" s="217">
        <f t="shared" ca="1" si="570"/>
        <v>2037</v>
      </c>
      <c r="R62" s="217">
        <f t="shared" ca="1" si="570"/>
        <v>2038</v>
      </c>
      <c r="S62" s="217">
        <f t="shared" ca="1" si="570"/>
        <v>2039</v>
      </c>
      <c r="T62" s="217">
        <f t="shared" ca="1" si="570"/>
        <v>2040</v>
      </c>
      <c r="U62" s="217">
        <f t="shared" ca="1" si="570"/>
        <v>2041</v>
      </c>
      <c r="V62" s="217">
        <f t="shared" ca="1" si="570"/>
        <v>2042</v>
      </c>
      <c r="W62" s="217">
        <f t="shared" ca="1" si="570"/>
        <v>2043</v>
      </c>
      <c r="X62" s="217">
        <f t="shared" ca="1" si="570"/>
        <v>2044</v>
      </c>
      <c r="Y62" s="217">
        <f t="shared" ca="1" si="570"/>
        <v>2045</v>
      </c>
      <c r="Z62" s="217">
        <f t="shared" ca="1" si="570"/>
        <v>2046</v>
      </c>
      <c r="AA62" s="217">
        <f t="shared" ca="1" si="570"/>
        <v>2047</v>
      </c>
      <c r="AB62" s="217">
        <f t="shared" ca="1" si="570"/>
        <v>2048</v>
      </c>
      <c r="AC62" s="217">
        <f t="shared" ca="1" si="570"/>
        <v>2049</v>
      </c>
      <c r="AD62" s="217">
        <f t="shared" ca="1" si="570"/>
        <v>2050</v>
      </c>
      <c r="AE62" s="217">
        <f t="shared" ca="1" si="570"/>
        <v>2051</v>
      </c>
      <c r="AF62" s="217">
        <f t="shared" ca="1" si="570"/>
        <v>2052</v>
      </c>
      <c r="AG62" s="217">
        <f t="shared" ca="1" si="570"/>
        <v>2053</v>
      </c>
      <c r="AH62" s="217">
        <f t="shared" ca="1" si="570"/>
        <v>2054</v>
      </c>
      <c r="AI62" s="217">
        <f t="shared" ca="1" si="570"/>
        <v>2055</v>
      </c>
      <c r="AJ62" s="217">
        <f t="shared" ca="1" si="570"/>
        <v>2056</v>
      </c>
      <c r="AK62" s="217">
        <f t="shared" ca="1" si="570"/>
        <v>2057</v>
      </c>
      <c r="AL62" s="217">
        <f t="shared" ca="1" si="570"/>
        <v>2058</v>
      </c>
      <c r="AM62" s="217">
        <f t="shared" ca="1" si="570"/>
        <v>2059</v>
      </c>
      <c r="AN62" s="217">
        <f t="shared" ca="1" si="570"/>
        <v>2060</v>
      </c>
      <c r="AO62" s="217">
        <f t="shared" ca="1" si="570"/>
        <v>2061</v>
      </c>
      <c r="AP62" s="217">
        <f t="shared" ca="1" si="570"/>
        <v>2062</v>
      </c>
      <c r="AQ62" s="217">
        <f t="shared" ca="1" si="570"/>
        <v>2063</v>
      </c>
      <c r="AR62" s="217">
        <f t="shared" ca="1" si="570"/>
        <v>2064</v>
      </c>
      <c r="AS62" s="217">
        <f t="shared" ca="1" si="570"/>
        <v>2065</v>
      </c>
      <c r="AT62" s="217">
        <f t="shared" ca="1" si="570"/>
        <v>2066</v>
      </c>
      <c r="AU62" s="217">
        <f t="shared" ca="1" si="570"/>
        <v>2067</v>
      </c>
      <c r="AV62" s="217">
        <f t="shared" ca="1" si="570"/>
        <v>2068</v>
      </c>
      <c r="AW62" s="217">
        <f t="shared" ca="1" si="570"/>
        <v>2069</v>
      </c>
      <c r="AX62" s="217">
        <f t="shared" ca="1" si="570"/>
        <v>2070</v>
      </c>
      <c r="AY62" s="217">
        <f t="shared" ca="1" si="570"/>
        <v>2071</v>
      </c>
      <c r="AZ62" s="217">
        <f t="shared" ca="1" si="570"/>
        <v>2072</v>
      </c>
      <c r="BA62" s="217">
        <f t="shared" ca="1" si="570"/>
        <v>2073</v>
      </c>
      <c r="BB62" s="217">
        <f t="shared" ca="1" si="570"/>
        <v>2074</v>
      </c>
      <c r="BC62" s="217">
        <f t="shared" ca="1" si="570"/>
        <v>2075</v>
      </c>
      <c r="BD62" s="217">
        <f t="shared" ca="1" si="570"/>
        <v>2076</v>
      </c>
      <c r="BE62" s="217">
        <f t="shared" ca="1" si="570"/>
        <v>2077</v>
      </c>
      <c r="BF62" s="217">
        <f t="shared" ca="1" si="570"/>
        <v>2078</v>
      </c>
      <c r="BG62" s="217">
        <f t="shared" ca="1" si="570"/>
        <v>2079</v>
      </c>
      <c r="BH62" s="217">
        <f t="shared" ca="1" si="570"/>
        <v>2080</v>
      </c>
      <c r="BI62" s="217">
        <f t="shared" ca="1" si="570"/>
        <v>2081</v>
      </c>
      <c r="BJ62" s="217">
        <f t="shared" ca="1" si="570"/>
        <v>2082</v>
      </c>
      <c r="BK62" s="217">
        <f t="shared" ca="1" si="570"/>
        <v>2083</v>
      </c>
      <c r="BL62" s="217">
        <f t="shared" ca="1" si="570"/>
        <v>2084</v>
      </c>
      <c r="BM62" s="217">
        <f t="shared" ca="1" si="570"/>
        <v>2085</v>
      </c>
      <c r="BN62" s="217">
        <f t="shared" ca="1" si="570"/>
        <v>2086</v>
      </c>
      <c r="BO62" s="217">
        <f t="shared" ca="1" si="570"/>
        <v>2087</v>
      </c>
      <c r="BP62" s="217">
        <f t="shared" ca="1" si="570"/>
        <v>2088</v>
      </c>
      <c r="BQ62" s="217">
        <f t="shared" ref="BQ62:CH62" ca="1" si="571">BQ$13</f>
        <v>2089</v>
      </c>
      <c r="BR62" s="217">
        <f t="shared" ca="1" si="571"/>
        <v>2090</v>
      </c>
      <c r="BS62" s="217">
        <f t="shared" ca="1" si="571"/>
        <v>2091</v>
      </c>
      <c r="BT62" s="217">
        <f t="shared" ca="1" si="571"/>
        <v>2092</v>
      </c>
      <c r="BU62" s="217">
        <f t="shared" ca="1" si="571"/>
        <v>2093</v>
      </c>
      <c r="BV62" s="217">
        <f t="shared" ca="1" si="571"/>
        <v>2094</v>
      </c>
      <c r="BW62" s="217">
        <f t="shared" ca="1" si="571"/>
        <v>2095</v>
      </c>
      <c r="BX62" s="217">
        <f t="shared" ca="1" si="571"/>
        <v>2096</v>
      </c>
      <c r="BY62" s="217">
        <f t="shared" ca="1" si="571"/>
        <v>2097</v>
      </c>
      <c r="BZ62" s="217">
        <f t="shared" ca="1" si="571"/>
        <v>2098</v>
      </c>
      <c r="CA62" s="217">
        <f t="shared" ca="1" si="571"/>
        <v>2099</v>
      </c>
      <c r="CB62" s="217">
        <f t="shared" ca="1" si="571"/>
        <v>2100</v>
      </c>
      <c r="CC62" s="217">
        <f t="shared" ca="1" si="571"/>
        <v>2101</v>
      </c>
      <c r="CD62" s="217">
        <f t="shared" ca="1" si="571"/>
        <v>2102</v>
      </c>
      <c r="CE62" s="217">
        <f t="shared" ca="1" si="571"/>
        <v>2103</v>
      </c>
      <c r="CF62" s="217">
        <f t="shared" ca="1" si="571"/>
        <v>2104</v>
      </c>
      <c r="CG62" s="217">
        <f t="shared" ca="1" si="571"/>
        <v>2105</v>
      </c>
      <c r="CH62" s="218">
        <f t="shared" ca="1" si="571"/>
        <v>2106</v>
      </c>
    </row>
    <row r="63" spans="2:86">
      <c r="B63" s="487" t="s">
        <v>43</v>
      </c>
      <c r="C63" s="488"/>
      <c r="D63" s="224">
        <f t="shared" ref="D63:AI63" si="572">D32+D49</f>
        <v>0</v>
      </c>
      <c r="E63" s="224">
        <f t="shared" si="572"/>
        <v>0</v>
      </c>
      <c r="F63" s="224">
        <f t="shared" si="572"/>
        <v>0</v>
      </c>
      <c r="G63" s="224">
        <f t="shared" si="572"/>
        <v>0</v>
      </c>
      <c r="H63" s="224">
        <f t="shared" si="572"/>
        <v>0</v>
      </c>
      <c r="I63" s="224">
        <f t="shared" si="572"/>
        <v>0</v>
      </c>
      <c r="J63" s="224">
        <f t="shared" si="572"/>
        <v>0</v>
      </c>
      <c r="K63" s="224">
        <f t="shared" si="572"/>
        <v>0</v>
      </c>
      <c r="L63" s="224">
        <f t="shared" si="572"/>
        <v>0</v>
      </c>
      <c r="M63" s="224">
        <f t="shared" si="572"/>
        <v>0</v>
      </c>
      <c r="N63" s="224">
        <f t="shared" si="572"/>
        <v>0</v>
      </c>
      <c r="O63" s="224">
        <f t="shared" si="572"/>
        <v>0</v>
      </c>
      <c r="P63" s="224">
        <f t="shared" si="572"/>
        <v>0</v>
      </c>
      <c r="Q63" s="224">
        <f t="shared" si="572"/>
        <v>0</v>
      </c>
      <c r="R63" s="224">
        <f t="shared" si="572"/>
        <v>0</v>
      </c>
      <c r="S63" s="224">
        <f t="shared" si="572"/>
        <v>0</v>
      </c>
      <c r="T63" s="224">
        <f t="shared" si="572"/>
        <v>0</v>
      </c>
      <c r="U63" s="224">
        <f t="shared" si="572"/>
        <v>0</v>
      </c>
      <c r="V63" s="224">
        <f t="shared" si="572"/>
        <v>0</v>
      </c>
      <c r="W63" s="224">
        <f t="shared" si="572"/>
        <v>0</v>
      </c>
      <c r="X63" s="224">
        <f t="shared" si="572"/>
        <v>0</v>
      </c>
      <c r="Y63" s="224">
        <f t="shared" si="572"/>
        <v>0</v>
      </c>
      <c r="Z63" s="224">
        <f t="shared" si="572"/>
        <v>0</v>
      </c>
      <c r="AA63" s="224">
        <f t="shared" si="572"/>
        <v>0</v>
      </c>
      <c r="AB63" s="224">
        <f t="shared" si="572"/>
        <v>0</v>
      </c>
      <c r="AC63" s="224">
        <f t="shared" si="572"/>
        <v>0</v>
      </c>
      <c r="AD63" s="224">
        <f t="shared" si="572"/>
        <v>0</v>
      </c>
      <c r="AE63" s="224">
        <f t="shared" si="572"/>
        <v>0</v>
      </c>
      <c r="AF63" s="224">
        <f t="shared" si="572"/>
        <v>0</v>
      </c>
      <c r="AG63" s="224">
        <f t="shared" si="572"/>
        <v>0</v>
      </c>
      <c r="AH63" s="224">
        <f t="shared" si="572"/>
        <v>0</v>
      </c>
      <c r="AI63" s="224">
        <f t="shared" si="572"/>
        <v>0</v>
      </c>
      <c r="AJ63" s="224">
        <f t="shared" ref="AJ63:BA63" si="573">AJ32+AJ49</f>
        <v>0</v>
      </c>
      <c r="AK63" s="224">
        <f t="shared" si="573"/>
        <v>0</v>
      </c>
      <c r="AL63" s="224">
        <f t="shared" si="573"/>
        <v>0</v>
      </c>
      <c r="AM63" s="224">
        <f t="shared" si="573"/>
        <v>0</v>
      </c>
      <c r="AN63" s="224">
        <f t="shared" si="573"/>
        <v>0</v>
      </c>
      <c r="AO63" s="224">
        <f t="shared" si="573"/>
        <v>0</v>
      </c>
      <c r="AP63" s="224">
        <f t="shared" si="573"/>
        <v>0</v>
      </c>
      <c r="AQ63" s="224">
        <f t="shared" si="573"/>
        <v>0</v>
      </c>
      <c r="AR63" s="224">
        <f t="shared" si="573"/>
        <v>0</v>
      </c>
      <c r="AS63" s="224">
        <f t="shared" si="573"/>
        <v>0</v>
      </c>
      <c r="AT63" s="224">
        <f t="shared" si="573"/>
        <v>0</v>
      </c>
      <c r="AU63" s="224">
        <f t="shared" si="573"/>
        <v>0</v>
      </c>
      <c r="AV63" s="224">
        <f t="shared" si="573"/>
        <v>0</v>
      </c>
      <c r="AW63" s="224">
        <f t="shared" si="573"/>
        <v>0</v>
      </c>
      <c r="AX63" s="224">
        <f t="shared" si="573"/>
        <v>0</v>
      </c>
      <c r="AY63" s="224">
        <f t="shared" si="573"/>
        <v>0</v>
      </c>
      <c r="AZ63" s="224">
        <f t="shared" si="573"/>
        <v>0</v>
      </c>
      <c r="BA63" s="224">
        <f t="shared" si="573"/>
        <v>0</v>
      </c>
      <c r="BB63" s="224">
        <f t="shared" ref="BB63:CH63" si="574">BB32+BB49</f>
        <v>0</v>
      </c>
      <c r="BC63" s="224">
        <f t="shared" si="574"/>
        <v>0</v>
      </c>
      <c r="BD63" s="224">
        <f t="shared" si="574"/>
        <v>0</v>
      </c>
      <c r="BE63" s="224">
        <f t="shared" si="574"/>
        <v>0</v>
      </c>
      <c r="BF63" s="224">
        <f t="shared" si="574"/>
        <v>0</v>
      </c>
      <c r="BG63" s="224">
        <f t="shared" si="574"/>
        <v>0</v>
      </c>
      <c r="BH63" s="224">
        <f t="shared" si="574"/>
        <v>0</v>
      </c>
      <c r="BI63" s="224">
        <f t="shared" si="574"/>
        <v>0</v>
      </c>
      <c r="BJ63" s="224">
        <f t="shared" si="574"/>
        <v>0</v>
      </c>
      <c r="BK63" s="224">
        <f t="shared" si="574"/>
        <v>0</v>
      </c>
      <c r="BL63" s="224">
        <f t="shared" si="574"/>
        <v>0</v>
      </c>
      <c r="BM63" s="224">
        <f t="shared" si="574"/>
        <v>0</v>
      </c>
      <c r="BN63" s="224">
        <f t="shared" si="574"/>
        <v>0</v>
      </c>
      <c r="BO63" s="224">
        <f t="shared" si="574"/>
        <v>0</v>
      </c>
      <c r="BP63" s="224">
        <f t="shared" si="574"/>
        <v>0</v>
      </c>
      <c r="BQ63" s="224">
        <f t="shared" si="574"/>
        <v>0</v>
      </c>
      <c r="BR63" s="224">
        <f t="shared" si="574"/>
        <v>0</v>
      </c>
      <c r="BS63" s="224">
        <f t="shared" si="574"/>
        <v>0</v>
      </c>
      <c r="BT63" s="224">
        <f t="shared" si="574"/>
        <v>0</v>
      </c>
      <c r="BU63" s="224">
        <f t="shared" si="574"/>
        <v>0</v>
      </c>
      <c r="BV63" s="224">
        <f t="shared" si="574"/>
        <v>0</v>
      </c>
      <c r="BW63" s="224">
        <f t="shared" si="574"/>
        <v>0</v>
      </c>
      <c r="BX63" s="224">
        <f t="shared" si="574"/>
        <v>0</v>
      </c>
      <c r="BY63" s="224">
        <f t="shared" si="574"/>
        <v>0</v>
      </c>
      <c r="BZ63" s="224">
        <f t="shared" si="574"/>
        <v>0</v>
      </c>
      <c r="CA63" s="224">
        <f t="shared" si="574"/>
        <v>0</v>
      </c>
      <c r="CB63" s="224">
        <f t="shared" si="574"/>
        <v>0</v>
      </c>
      <c r="CC63" s="224">
        <f t="shared" si="574"/>
        <v>0</v>
      </c>
      <c r="CD63" s="224">
        <f t="shared" si="574"/>
        <v>0</v>
      </c>
      <c r="CE63" s="224">
        <f t="shared" si="574"/>
        <v>0</v>
      </c>
      <c r="CF63" s="224">
        <f t="shared" si="574"/>
        <v>0</v>
      </c>
      <c r="CG63" s="224">
        <f t="shared" si="574"/>
        <v>0</v>
      </c>
      <c r="CH63" s="225">
        <f t="shared" si="574"/>
        <v>0</v>
      </c>
    </row>
    <row r="64" spans="2:86">
      <c r="B64" s="491" t="s">
        <v>221</v>
      </c>
      <c r="C64" s="492"/>
      <c r="D64" s="35">
        <f t="shared" ref="D64:AI64" si="575">D32</f>
        <v>0</v>
      </c>
      <c r="E64" s="35">
        <f t="shared" si="575"/>
        <v>0</v>
      </c>
      <c r="F64" s="35">
        <f t="shared" si="575"/>
        <v>0</v>
      </c>
      <c r="G64" s="35">
        <f t="shared" si="575"/>
        <v>0</v>
      </c>
      <c r="H64" s="35">
        <f t="shared" si="575"/>
        <v>0</v>
      </c>
      <c r="I64" s="35">
        <f t="shared" si="575"/>
        <v>0</v>
      </c>
      <c r="J64" s="35">
        <f t="shared" si="575"/>
        <v>0</v>
      </c>
      <c r="K64" s="35">
        <f t="shared" si="575"/>
        <v>0</v>
      </c>
      <c r="L64" s="35">
        <f t="shared" si="575"/>
        <v>0</v>
      </c>
      <c r="M64" s="35">
        <f t="shared" si="575"/>
        <v>0</v>
      </c>
      <c r="N64" s="35">
        <f t="shared" si="575"/>
        <v>0</v>
      </c>
      <c r="O64" s="35">
        <f t="shared" si="575"/>
        <v>0</v>
      </c>
      <c r="P64" s="35">
        <f t="shared" si="575"/>
        <v>0</v>
      </c>
      <c r="Q64" s="35">
        <f t="shared" si="575"/>
        <v>0</v>
      </c>
      <c r="R64" s="35">
        <f t="shared" si="575"/>
        <v>0</v>
      </c>
      <c r="S64" s="35">
        <f t="shared" si="575"/>
        <v>0</v>
      </c>
      <c r="T64" s="35">
        <f t="shared" si="575"/>
        <v>0</v>
      </c>
      <c r="U64" s="35">
        <f t="shared" si="575"/>
        <v>0</v>
      </c>
      <c r="V64" s="35">
        <f t="shared" si="575"/>
        <v>0</v>
      </c>
      <c r="W64" s="35">
        <f t="shared" si="575"/>
        <v>0</v>
      </c>
      <c r="X64" s="35">
        <f t="shared" si="575"/>
        <v>0</v>
      </c>
      <c r="Y64" s="35">
        <f t="shared" si="575"/>
        <v>0</v>
      </c>
      <c r="Z64" s="35">
        <f t="shared" si="575"/>
        <v>0</v>
      </c>
      <c r="AA64" s="35">
        <f t="shared" si="575"/>
        <v>0</v>
      </c>
      <c r="AB64" s="35">
        <f t="shared" si="575"/>
        <v>0</v>
      </c>
      <c r="AC64" s="35">
        <f t="shared" si="575"/>
        <v>0</v>
      </c>
      <c r="AD64" s="35">
        <f t="shared" si="575"/>
        <v>0</v>
      </c>
      <c r="AE64" s="35">
        <f t="shared" si="575"/>
        <v>0</v>
      </c>
      <c r="AF64" s="35">
        <f t="shared" si="575"/>
        <v>0</v>
      </c>
      <c r="AG64" s="35">
        <f t="shared" si="575"/>
        <v>0</v>
      </c>
      <c r="AH64" s="35">
        <f t="shared" si="575"/>
        <v>0</v>
      </c>
      <c r="AI64" s="35">
        <f t="shared" si="575"/>
        <v>0</v>
      </c>
      <c r="AJ64" s="35">
        <f t="shared" ref="AJ64:BA64" si="576">AJ32</f>
        <v>0</v>
      </c>
      <c r="AK64" s="35">
        <f t="shared" si="576"/>
        <v>0</v>
      </c>
      <c r="AL64" s="35">
        <f t="shared" si="576"/>
        <v>0</v>
      </c>
      <c r="AM64" s="35">
        <f t="shared" si="576"/>
        <v>0</v>
      </c>
      <c r="AN64" s="35">
        <f t="shared" si="576"/>
        <v>0</v>
      </c>
      <c r="AO64" s="35">
        <f t="shared" si="576"/>
        <v>0</v>
      </c>
      <c r="AP64" s="35">
        <f t="shared" si="576"/>
        <v>0</v>
      </c>
      <c r="AQ64" s="35">
        <f t="shared" si="576"/>
        <v>0</v>
      </c>
      <c r="AR64" s="35">
        <f t="shared" si="576"/>
        <v>0</v>
      </c>
      <c r="AS64" s="35">
        <f t="shared" si="576"/>
        <v>0</v>
      </c>
      <c r="AT64" s="35">
        <f t="shared" si="576"/>
        <v>0</v>
      </c>
      <c r="AU64" s="35">
        <f t="shared" si="576"/>
        <v>0</v>
      </c>
      <c r="AV64" s="35">
        <f t="shared" si="576"/>
        <v>0</v>
      </c>
      <c r="AW64" s="35">
        <f t="shared" si="576"/>
        <v>0</v>
      </c>
      <c r="AX64" s="35">
        <f t="shared" si="576"/>
        <v>0</v>
      </c>
      <c r="AY64" s="35">
        <f t="shared" si="576"/>
        <v>0</v>
      </c>
      <c r="AZ64" s="35">
        <f t="shared" si="576"/>
        <v>0</v>
      </c>
      <c r="BA64" s="35">
        <f t="shared" si="576"/>
        <v>0</v>
      </c>
      <c r="BB64" s="35">
        <f t="shared" ref="BB64:CH64" si="577">BB32</f>
        <v>0</v>
      </c>
      <c r="BC64" s="35">
        <f t="shared" si="577"/>
        <v>0</v>
      </c>
      <c r="BD64" s="35">
        <f t="shared" si="577"/>
        <v>0</v>
      </c>
      <c r="BE64" s="35">
        <f t="shared" si="577"/>
        <v>0</v>
      </c>
      <c r="BF64" s="35">
        <f t="shared" si="577"/>
        <v>0</v>
      </c>
      <c r="BG64" s="35">
        <f t="shared" si="577"/>
        <v>0</v>
      </c>
      <c r="BH64" s="35">
        <f t="shared" si="577"/>
        <v>0</v>
      </c>
      <c r="BI64" s="35">
        <f t="shared" si="577"/>
        <v>0</v>
      </c>
      <c r="BJ64" s="35">
        <f t="shared" si="577"/>
        <v>0</v>
      </c>
      <c r="BK64" s="35">
        <f t="shared" si="577"/>
        <v>0</v>
      </c>
      <c r="BL64" s="35">
        <f t="shared" si="577"/>
        <v>0</v>
      </c>
      <c r="BM64" s="35">
        <f t="shared" si="577"/>
        <v>0</v>
      </c>
      <c r="BN64" s="35">
        <f t="shared" si="577"/>
        <v>0</v>
      </c>
      <c r="BO64" s="35">
        <f t="shared" si="577"/>
        <v>0</v>
      </c>
      <c r="BP64" s="35">
        <f t="shared" si="577"/>
        <v>0</v>
      </c>
      <c r="BQ64" s="35">
        <f t="shared" si="577"/>
        <v>0</v>
      </c>
      <c r="BR64" s="35">
        <f t="shared" si="577"/>
        <v>0</v>
      </c>
      <c r="BS64" s="35">
        <f t="shared" si="577"/>
        <v>0</v>
      </c>
      <c r="BT64" s="35">
        <f t="shared" si="577"/>
        <v>0</v>
      </c>
      <c r="BU64" s="35">
        <f t="shared" si="577"/>
        <v>0</v>
      </c>
      <c r="BV64" s="35">
        <f t="shared" si="577"/>
        <v>0</v>
      </c>
      <c r="BW64" s="35">
        <f t="shared" si="577"/>
        <v>0</v>
      </c>
      <c r="BX64" s="35">
        <f t="shared" si="577"/>
        <v>0</v>
      </c>
      <c r="BY64" s="35">
        <f t="shared" si="577"/>
        <v>0</v>
      </c>
      <c r="BZ64" s="35">
        <f t="shared" si="577"/>
        <v>0</v>
      </c>
      <c r="CA64" s="35">
        <f t="shared" si="577"/>
        <v>0</v>
      </c>
      <c r="CB64" s="35">
        <f t="shared" si="577"/>
        <v>0</v>
      </c>
      <c r="CC64" s="35">
        <f t="shared" si="577"/>
        <v>0</v>
      </c>
      <c r="CD64" s="35">
        <f t="shared" si="577"/>
        <v>0</v>
      </c>
      <c r="CE64" s="35">
        <f t="shared" si="577"/>
        <v>0</v>
      </c>
      <c r="CF64" s="35">
        <f t="shared" si="577"/>
        <v>0</v>
      </c>
      <c r="CG64" s="35">
        <f t="shared" si="577"/>
        <v>0</v>
      </c>
      <c r="CH64" s="235">
        <f t="shared" si="577"/>
        <v>0</v>
      </c>
    </row>
    <row r="65" spans="1:86">
      <c r="A65"/>
      <c r="B65" s="491" t="s">
        <v>270</v>
      </c>
      <c r="C65" s="492"/>
      <c r="D65" s="35">
        <f t="shared" ref="D65:AI65" si="578">D49</f>
        <v>0</v>
      </c>
      <c r="E65" s="35">
        <f t="shared" si="578"/>
        <v>0</v>
      </c>
      <c r="F65" s="35">
        <f t="shared" si="578"/>
        <v>0</v>
      </c>
      <c r="G65" s="35">
        <f t="shared" si="578"/>
        <v>0</v>
      </c>
      <c r="H65" s="35">
        <f t="shared" si="578"/>
        <v>0</v>
      </c>
      <c r="I65" s="35">
        <f t="shared" si="578"/>
        <v>0</v>
      </c>
      <c r="J65" s="35">
        <f t="shared" si="578"/>
        <v>0</v>
      </c>
      <c r="K65" s="35">
        <f t="shared" si="578"/>
        <v>0</v>
      </c>
      <c r="L65" s="35">
        <f t="shared" si="578"/>
        <v>0</v>
      </c>
      <c r="M65" s="35">
        <f t="shared" si="578"/>
        <v>0</v>
      </c>
      <c r="N65" s="35">
        <f t="shared" si="578"/>
        <v>0</v>
      </c>
      <c r="O65" s="35">
        <f t="shared" si="578"/>
        <v>0</v>
      </c>
      <c r="P65" s="35">
        <f t="shared" si="578"/>
        <v>0</v>
      </c>
      <c r="Q65" s="35">
        <f t="shared" si="578"/>
        <v>0</v>
      </c>
      <c r="R65" s="35">
        <f t="shared" si="578"/>
        <v>0</v>
      </c>
      <c r="S65" s="35">
        <f t="shared" si="578"/>
        <v>0</v>
      </c>
      <c r="T65" s="35">
        <f t="shared" si="578"/>
        <v>0</v>
      </c>
      <c r="U65" s="35">
        <f t="shared" si="578"/>
        <v>0</v>
      </c>
      <c r="V65" s="35">
        <f t="shared" si="578"/>
        <v>0</v>
      </c>
      <c r="W65" s="35">
        <f t="shared" si="578"/>
        <v>0</v>
      </c>
      <c r="X65" s="35">
        <f t="shared" si="578"/>
        <v>0</v>
      </c>
      <c r="Y65" s="35">
        <f t="shared" si="578"/>
        <v>0</v>
      </c>
      <c r="Z65" s="35">
        <f t="shared" si="578"/>
        <v>0</v>
      </c>
      <c r="AA65" s="35">
        <f t="shared" si="578"/>
        <v>0</v>
      </c>
      <c r="AB65" s="35">
        <f t="shared" si="578"/>
        <v>0</v>
      </c>
      <c r="AC65" s="35">
        <f t="shared" si="578"/>
        <v>0</v>
      </c>
      <c r="AD65" s="35">
        <f t="shared" si="578"/>
        <v>0</v>
      </c>
      <c r="AE65" s="35">
        <f t="shared" si="578"/>
        <v>0</v>
      </c>
      <c r="AF65" s="35">
        <f t="shared" si="578"/>
        <v>0</v>
      </c>
      <c r="AG65" s="35">
        <f t="shared" si="578"/>
        <v>0</v>
      </c>
      <c r="AH65" s="35">
        <f t="shared" si="578"/>
        <v>0</v>
      </c>
      <c r="AI65" s="35">
        <f t="shared" si="578"/>
        <v>0</v>
      </c>
      <c r="AJ65" s="35">
        <f t="shared" ref="AJ65:BA65" si="579">AJ49</f>
        <v>0</v>
      </c>
      <c r="AK65" s="35">
        <f t="shared" si="579"/>
        <v>0</v>
      </c>
      <c r="AL65" s="35">
        <f t="shared" si="579"/>
        <v>0</v>
      </c>
      <c r="AM65" s="35">
        <f t="shared" si="579"/>
        <v>0</v>
      </c>
      <c r="AN65" s="35">
        <f t="shared" si="579"/>
        <v>0</v>
      </c>
      <c r="AO65" s="35">
        <f t="shared" si="579"/>
        <v>0</v>
      </c>
      <c r="AP65" s="35">
        <f t="shared" si="579"/>
        <v>0</v>
      </c>
      <c r="AQ65" s="35">
        <f t="shared" si="579"/>
        <v>0</v>
      </c>
      <c r="AR65" s="35">
        <f t="shared" si="579"/>
        <v>0</v>
      </c>
      <c r="AS65" s="35">
        <f t="shared" si="579"/>
        <v>0</v>
      </c>
      <c r="AT65" s="35">
        <f t="shared" si="579"/>
        <v>0</v>
      </c>
      <c r="AU65" s="35">
        <f t="shared" si="579"/>
        <v>0</v>
      </c>
      <c r="AV65" s="35">
        <f t="shared" si="579"/>
        <v>0</v>
      </c>
      <c r="AW65" s="35">
        <f t="shared" si="579"/>
        <v>0</v>
      </c>
      <c r="AX65" s="35">
        <f t="shared" si="579"/>
        <v>0</v>
      </c>
      <c r="AY65" s="35">
        <f t="shared" si="579"/>
        <v>0</v>
      </c>
      <c r="AZ65" s="35">
        <f t="shared" si="579"/>
        <v>0</v>
      </c>
      <c r="BA65" s="35">
        <f t="shared" si="579"/>
        <v>0</v>
      </c>
      <c r="BB65" s="35">
        <f t="shared" ref="BB65:CH65" si="580">BB49</f>
        <v>0</v>
      </c>
      <c r="BC65" s="35">
        <f t="shared" si="580"/>
        <v>0</v>
      </c>
      <c r="BD65" s="35">
        <f t="shared" si="580"/>
        <v>0</v>
      </c>
      <c r="BE65" s="35">
        <f t="shared" si="580"/>
        <v>0</v>
      </c>
      <c r="BF65" s="35">
        <f t="shared" si="580"/>
        <v>0</v>
      </c>
      <c r="BG65" s="35">
        <f t="shared" si="580"/>
        <v>0</v>
      </c>
      <c r="BH65" s="35">
        <f t="shared" si="580"/>
        <v>0</v>
      </c>
      <c r="BI65" s="35">
        <f t="shared" si="580"/>
        <v>0</v>
      </c>
      <c r="BJ65" s="35">
        <f t="shared" si="580"/>
        <v>0</v>
      </c>
      <c r="BK65" s="35">
        <f t="shared" si="580"/>
        <v>0</v>
      </c>
      <c r="BL65" s="35">
        <f t="shared" si="580"/>
        <v>0</v>
      </c>
      <c r="BM65" s="35">
        <f t="shared" si="580"/>
        <v>0</v>
      </c>
      <c r="BN65" s="35">
        <f t="shared" si="580"/>
        <v>0</v>
      </c>
      <c r="BO65" s="35">
        <f t="shared" si="580"/>
        <v>0</v>
      </c>
      <c r="BP65" s="35">
        <f t="shared" si="580"/>
        <v>0</v>
      </c>
      <c r="BQ65" s="35">
        <f t="shared" si="580"/>
        <v>0</v>
      </c>
      <c r="BR65" s="35">
        <f t="shared" si="580"/>
        <v>0</v>
      </c>
      <c r="BS65" s="35">
        <f t="shared" si="580"/>
        <v>0</v>
      </c>
      <c r="BT65" s="35">
        <f t="shared" si="580"/>
        <v>0</v>
      </c>
      <c r="BU65" s="35">
        <f t="shared" si="580"/>
        <v>0</v>
      </c>
      <c r="BV65" s="35">
        <f t="shared" si="580"/>
        <v>0</v>
      </c>
      <c r="BW65" s="35">
        <f t="shared" si="580"/>
        <v>0</v>
      </c>
      <c r="BX65" s="35">
        <f t="shared" si="580"/>
        <v>0</v>
      </c>
      <c r="BY65" s="35">
        <f t="shared" si="580"/>
        <v>0</v>
      </c>
      <c r="BZ65" s="35">
        <f t="shared" si="580"/>
        <v>0</v>
      </c>
      <c r="CA65" s="35">
        <f t="shared" si="580"/>
        <v>0</v>
      </c>
      <c r="CB65" s="35">
        <f t="shared" si="580"/>
        <v>0</v>
      </c>
      <c r="CC65" s="35">
        <f t="shared" si="580"/>
        <v>0</v>
      </c>
      <c r="CD65" s="35">
        <f t="shared" si="580"/>
        <v>0</v>
      </c>
      <c r="CE65" s="35">
        <f t="shared" si="580"/>
        <v>0</v>
      </c>
      <c r="CF65" s="35">
        <f t="shared" si="580"/>
        <v>0</v>
      </c>
      <c r="CG65" s="35">
        <f t="shared" si="580"/>
        <v>0</v>
      </c>
      <c r="CH65" s="235">
        <f t="shared" si="580"/>
        <v>0</v>
      </c>
    </row>
    <row r="66" spans="1:86">
      <c r="A66"/>
      <c r="B66" s="236"/>
      <c r="C66" s="108"/>
      <c r="D66" s="35"/>
      <c r="E66" s="35"/>
      <c r="F66" s="35"/>
      <c r="G66" s="35"/>
      <c r="H66" s="35"/>
      <c r="I66" s="35"/>
      <c r="J66" s="35"/>
      <c r="K66" s="35"/>
      <c r="L66" s="35"/>
      <c r="M66" s="35"/>
      <c r="N66" s="35"/>
      <c r="O66" s="35"/>
      <c r="P66" s="35"/>
      <c r="Q66" s="35"/>
      <c r="R66" s="35"/>
      <c r="S66" s="35"/>
      <c r="T66" s="35"/>
      <c r="U66" s="35"/>
      <c r="V66" s="35"/>
      <c r="W66" s="35"/>
      <c r="X66" s="35"/>
      <c r="Y66" s="35"/>
      <c r="Z66" s="35"/>
      <c r="AA66" s="35"/>
      <c r="AB66" s="35"/>
      <c r="AC66" s="35"/>
      <c r="AD66" s="35"/>
      <c r="AE66" s="35"/>
      <c r="AF66" s="35"/>
      <c r="AG66" s="35"/>
      <c r="AH66" s="35"/>
      <c r="AI66" s="35"/>
      <c r="AJ66" s="35"/>
      <c r="AK66" s="35"/>
      <c r="AL66" s="35"/>
      <c r="AM66" s="35"/>
      <c r="AN66" s="35"/>
      <c r="AO66" s="35"/>
      <c r="AP66" s="35"/>
      <c r="AQ66" s="35"/>
      <c r="AR66" s="35"/>
      <c r="AS66" s="35"/>
      <c r="AT66" s="35"/>
      <c r="AU66" s="35"/>
      <c r="AV66" s="35"/>
      <c r="AW66" s="35"/>
      <c r="AX66" s="35"/>
      <c r="AY66" s="35"/>
      <c r="AZ66" s="35"/>
      <c r="BA66" s="35"/>
      <c r="BB66" s="35"/>
      <c r="BC66" s="35"/>
      <c r="BD66" s="35"/>
      <c r="BE66" s="35"/>
      <c r="BF66" s="35"/>
      <c r="BG66" s="35"/>
      <c r="BH66" s="35"/>
      <c r="BI66" s="35"/>
      <c r="BJ66" s="35"/>
      <c r="BK66" s="35"/>
      <c r="BL66" s="35"/>
      <c r="BM66" s="35"/>
      <c r="BN66" s="35"/>
      <c r="BO66" s="35"/>
      <c r="BP66" s="35"/>
      <c r="BQ66" s="35"/>
      <c r="BR66" s="35"/>
      <c r="BS66" s="35"/>
      <c r="BT66" s="35"/>
      <c r="BU66" s="35"/>
      <c r="BV66" s="35"/>
      <c r="BW66" s="35"/>
      <c r="BX66" s="35"/>
      <c r="BY66" s="35"/>
      <c r="BZ66" s="35"/>
      <c r="CA66" s="35"/>
      <c r="CB66" s="35"/>
      <c r="CC66" s="35"/>
      <c r="CD66" s="35"/>
      <c r="CE66" s="35"/>
      <c r="CF66" s="35"/>
      <c r="CG66" s="35"/>
      <c r="CH66" s="235"/>
    </row>
    <row r="67" spans="1:86">
      <c r="B67" s="457" t="s">
        <v>44</v>
      </c>
      <c r="C67" s="458"/>
      <c r="D67" s="3">
        <f t="shared" ref="D67:AI67" si="581">D33+D50</f>
        <v>0</v>
      </c>
      <c r="E67" s="3">
        <f t="shared" si="581"/>
        <v>0</v>
      </c>
      <c r="F67" s="3">
        <f t="shared" si="581"/>
        <v>0</v>
      </c>
      <c r="G67" s="3">
        <f t="shared" si="581"/>
        <v>0</v>
      </c>
      <c r="H67" s="3">
        <f t="shared" si="581"/>
        <v>0</v>
      </c>
      <c r="I67" s="3">
        <f t="shared" si="581"/>
        <v>0</v>
      </c>
      <c r="J67" s="3">
        <f t="shared" si="581"/>
        <v>0</v>
      </c>
      <c r="K67" s="3">
        <f t="shared" si="581"/>
        <v>0</v>
      </c>
      <c r="L67" s="3">
        <f t="shared" si="581"/>
        <v>0</v>
      </c>
      <c r="M67" s="3">
        <f t="shared" si="581"/>
        <v>0</v>
      </c>
      <c r="N67" s="3">
        <f t="shared" si="581"/>
        <v>0</v>
      </c>
      <c r="O67" s="3">
        <f t="shared" si="581"/>
        <v>0</v>
      </c>
      <c r="P67" s="3">
        <f t="shared" si="581"/>
        <v>0</v>
      </c>
      <c r="Q67" s="3">
        <f t="shared" si="581"/>
        <v>0</v>
      </c>
      <c r="R67" s="3">
        <f t="shared" si="581"/>
        <v>0</v>
      </c>
      <c r="S67" s="3">
        <f t="shared" si="581"/>
        <v>0</v>
      </c>
      <c r="T67" s="3">
        <f t="shared" si="581"/>
        <v>0</v>
      </c>
      <c r="U67" s="3">
        <f t="shared" si="581"/>
        <v>0</v>
      </c>
      <c r="V67" s="3">
        <f t="shared" si="581"/>
        <v>0</v>
      </c>
      <c r="W67" s="3">
        <f t="shared" si="581"/>
        <v>0</v>
      </c>
      <c r="X67" s="3">
        <f t="shared" si="581"/>
        <v>0</v>
      </c>
      <c r="Y67" s="3">
        <f t="shared" si="581"/>
        <v>0</v>
      </c>
      <c r="Z67" s="3">
        <f t="shared" si="581"/>
        <v>0</v>
      </c>
      <c r="AA67" s="3">
        <f t="shared" si="581"/>
        <v>0</v>
      </c>
      <c r="AB67" s="3">
        <f t="shared" si="581"/>
        <v>0</v>
      </c>
      <c r="AC67" s="3">
        <f t="shared" si="581"/>
        <v>0</v>
      </c>
      <c r="AD67" s="3">
        <f t="shared" si="581"/>
        <v>0</v>
      </c>
      <c r="AE67" s="3">
        <f t="shared" si="581"/>
        <v>0</v>
      </c>
      <c r="AF67" s="3">
        <f t="shared" si="581"/>
        <v>0</v>
      </c>
      <c r="AG67" s="3">
        <f t="shared" si="581"/>
        <v>0</v>
      </c>
      <c r="AH67" s="3">
        <f t="shared" si="581"/>
        <v>0</v>
      </c>
      <c r="AI67" s="3">
        <f t="shared" si="581"/>
        <v>0</v>
      </c>
      <c r="AJ67" s="3">
        <f t="shared" ref="AJ67:BA67" si="582">AJ33+AJ50</f>
        <v>0</v>
      </c>
      <c r="AK67" s="3">
        <f t="shared" si="582"/>
        <v>0</v>
      </c>
      <c r="AL67" s="3">
        <f t="shared" si="582"/>
        <v>0</v>
      </c>
      <c r="AM67" s="3">
        <f t="shared" si="582"/>
        <v>0</v>
      </c>
      <c r="AN67" s="3">
        <f t="shared" si="582"/>
        <v>0</v>
      </c>
      <c r="AO67" s="3">
        <f t="shared" si="582"/>
        <v>0</v>
      </c>
      <c r="AP67" s="3">
        <f t="shared" si="582"/>
        <v>0</v>
      </c>
      <c r="AQ67" s="3">
        <f t="shared" si="582"/>
        <v>0</v>
      </c>
      <c r="AR67" s="3">
        <f t="shared" si="582"/>
        <v>0</v>
      </c>
      <c r="AS67" s="3">
        <f t="shared" si="582"/>
        <v>0</v>
      </c>
      <c r="AT67" s="3">
        <f t="shared" si="582"/>
        <v>0</v>
      </c>
      <c r="AU67" s="3">
        <f t="shared" si="582"/>
        <v>0</v>
      </c>
      <c r="AV67" s="3">
        <f t="shared" si="582"/>
        <v>0</v>
      </c>
      <c r="AW67" s="3">
        <f t="shared" si="582"/>
        <v>0</v>
      </c>
      <c r="AX67" s="3">
        <f t="shared" si="582"/>
        <v>0</v>
      </c>
      <c r="AY67" s="3">
        <f t="shared" si="582"/>
        <v>0</v>
      </c>
      <c r="AZ67" s="3">
        <f t="shared" si="582"/>
        <v>0</v>
      </c>
      <c r="BA67" s="3">
        <f t="shared" si="582"/>
        <v>0</v>
      </c>
      <c r="BB67" s="3">
        <f t="shared" ref="BB67:CH67" si="583">BB33+BB50</f>
        <v>0</v>
      </c>
      <c r="BC67" s="3">
        <f t="shared" si="583"/>
        <v>0</v>
      </c>
      <c r="BD67" s="3">
        <f t="shared" si="583"/>
        <v>0</v>
      </c>
      <c r="BE67" s="3">
        <f t="shared" si="583"/>
        <v>0</v>
      </c>
      <c r="BF67" s="3">
        <f t="shared" si="583"/>
        <v>0</v>
      </c>
      <c r="BG67" s="3">
        <f t="shared" si="583"/>
        <v>0</v>
      </c>
      <c r="BH67" s="3">
        <f t="shared" si="583"/>
        <v>0</v>
      </c>
      <c r="BI67" s="3">
        <f t="shared" si="583"/>
        <v>0</v>
      </c>
      <c r="BJ67" s="3">
        <f t="shared" si="583"/>
        <v>0</v>
      </c>
      <c r="BK67" s="3">
        <f t="shared" si="583"/>
        <v>0</v>
      </c>
      <c r="BL67" s="3">
        <f t="shared" si="583"/>
        <v>0</v>
      </c>
      <c r="BM67" s="3">
        <f t="shared" si="583"/>
        <v>0</v>
      </c>
      <c r="BN67" s="3">
        <f t="shared" si="583"/>
        <v>0</v>
      </c>
      <c r="BO67" s="3">
        <f t="shared" si="583"/>
        <v>0</v>
      </c>
      <c r="BP67" s="3">
        <f t="shared" si="583"/>
        <v>0</v>
      </c>
      <c r="BQ67" s="3">
        <f t="shared" si="583"/>
        <v>0</v>
      </c>
      <c r="BR67" s="3">
        <f t="shared" si="583"/>
        <v>0</v>
      </c>
      <c r="BS67" s="3">
        <f t="shared" si="583"/>
        <v>0</v>
      </c>
      <c r="BT67" s="3">
        <f t="shared" si="583"/>
        <v>0</v>
      </c>
      <c r="BU67" s="3">
        <f t="shared" si="583"/>
        <v>0</v>
      </c>
      <c r="BV67" s="3">
        <f t="shared" si="583"/>
        <v>0</v>
      </c>
      <c r="BW67" s="3">
        <f t="shared" si="583"/>
        <v>0</v>
      </c>
      <c r="BX67" s="3">
        <f t="shared" si="583"/>
        <v>0</v>
      </c>
      <c r="BY67" s="3">
        <f t="shared" si="583"/>
        <v>0</v>
      </c>
      <c r="BZ67" s="3">
        <f t="shared" si="583"/>
        <v>0</v>
      </c>
      <c r="CA67" s="3">
        <f t="shared" si="583"/>
        <v>0</v>
      </c>
      <c r="CB67" s="3">
        <f t="shared" si="583"/>
        <v>0</v>
      </c>
      <c r="CC67" s="3">
        <f t="shared" si="583"/>
        <v>0</v>
      </c>
      <c r="CD67" s="3">
        <f t="shared" si="583"/>
        <v>0</v>
      </c>
      <c r="CE67" s="3">
        <f t="shared" si="583"/>
        <v>0</v>
      </c>
      <c r="CF67" s="3">
        <f t="shared" si="583"/>
        <v>0</v>
      </c>
      <c r="CG67" s="3">
        <f t="shared" si="583"/>
        <v>0</v>
      </c>
      <c r="CH67" s="226">
        <f t="shared" si="583"/>
        <v>0</v>
      </c>
    </row>
    <row r="68" spans="1:86">
      <c r="B68" s="493" t="s">
        <v>58</v>
      </c>
      <c r="C68" s="494"/>
      <c r="D68" s="3">
        <f>D67</f>
        <v>0</v>
      </c>
      <c r="E68" s="3">
        <f>D68+E67</f>
        <v>0</v>
      </c>
      <c r="F68" s="3">
        <f t="shared" ref="F68:BA68" si="584">E68+F67</f>
        <v>0</v>
      </c>
      <c r="G68" s="3">
        <f t="shared" si="584"/>
        <v>0</v>
      </c>
      <c r="H68" s="3">
        <f t="shared" si="584"/>
        <v>0</v>
      </c>
      <c r="I68" s="3">
        <f t="shared" si="584"/>
        <v>0</v>
      </c>
      <c r="J68" s="3">
        <f t="shared" si="584"/>
        <v>0</v>
      </c>
      <c r="K68" s="3">
        <f t="shared" si="584"/>
        <v>0</v>
      </c>
      <c r="L68" s="3">
        <f t="shared" si="584"/>
        <v>0</v>
      </c>
      <c r="M68" s="3">
        <f t="shared" si="584"/>
        <v>0</v>
      </c>
      <c r="N68" s="3">
        <f t="shared" si="584"/>
        <v>0</v>
      </c>
      <c r="O68" s="3">
        <f t="shared" si="584"/>
        <v>0</v>
      </c>
      <c r="P68" s="3">
        <f t="shared" si="584"/>
        <v>0</v>
      </c>
      <c r="Q68" s="3">
        <f t="shared" si="584"/>
        <v>0</v>
      </c>
      <c r="R68" s="3">
        <f t="shared" si="584"/>
        <v>0</v>
      </c>
      <c r="S68" s="3">
        <f t="shared" si="584"/>
        <v>0</v>
      </c>
      <c r="T68" s="3">
        <f t="shared" si="584"/>
        <v>0</v>
      </c>
      <c r="U68" s="3">
        <f t="shared" si="584"/>
        <v>0</v>
      </c>
      <c r="V68" s="3">
        <f t="shared" si="584"/>
        <v>0</v>
      </c>
      <c r="W68" s="3">
        <f t="shared" si="584"/>
        <v>0</v>
      </c>
      <c r="X68" s="3">
        <f t="shared" si="584"/>
        <v>0</v>
      </c>
      <c r="Y68" s="3">
        <f t="shared" si="584"/>
        <v>0</v>
      </c>
      <c r="Z68" s="3">
        <f t="shared" si="584"/>
        <v>0</v>
      </c>
      <c r="AA68" s="3">
        <f t="shared" si="584"/>
        <v>0</v>
      </c>
      <c r="AB68" s="3">
        <f t="shared" si="584"/>
        <v>0</v>
      </c>
      <c r="AC68" s="3">
        <f t="shared" si="584"/>
        <v>0</v>
      </c>
      <c r="AD68" s="3">
        <f t="shared" si="584"/>
        <v>0</v>
      </c>
      <c r="AE68" s="3">
        <f t="shared" si="584"/>
        <v>0</v>
      </c>
      <c r="AF68" s="3">
        <f t="shared" si="584"/>
        <v>0</v>
      </c>
      <c r="AG68" s="3">
        <f t="shared" si="584"/>
        <v>0</v>
      </c>
      <c r="AH68" s="3">
        <f t="shared" si="584"/>
        <v>0</v>
      </c>
      <c r="AI68" s="3">
        <f t="shared" si="584"/>
        <v>0</v>
      </c>
      <c r="AJ68" s="3">
        <f t="shared" si="584"/>
        <v>0</v>
      </c>
      <c r="AK68" s="3">
        <f t="shared" si="584"/>
        <v>0</v>
      </c>
      <c r="AL68" s="3">
        <f t="shared" si="584"/>
        <v>0</v>
      </c>
      <c r="AM68" s="3">
        <f t="shared" si="584"/>
        <v>0</v>
      </c>
      <c r="AN68" s="3">
        <f t="shared" si="584"/>
        <v>0</v>
      </c>
      <c r="AO68" s="3">
        <f t="shared" si="584"/>
        <v>0</v>
      </c>
      <c r="AP68" s="3">
        <f t="shared" si="584"/>
        <v>0</v>
      </c>
      <c r="AQ68" s="3">
        <f t="shared" si="584"/>
        <v>0</v>
      </c>
      <c r="AR68" s="3">
        <f t="shared" si="584"/>
        <v>0</v>
      </c>
      <c r="AS68" s="3">
        <f t="shared" si="584"/>
        <v>0</v>
      </c>
      <c r="AT68" s="3">
        <f t="shared" si="584"/>
        <v>0</v>
      </c>
      <c r="AU68" s="3">
        <f t="shared" si="584"/>
        <v>0</v>
      </c>
      <c r="AV68" s="3">
        <f t="shared" si="584"/>
        <v>0</v>
      </c>
      <c r="AW68" s="3">
        <f t="shared" si="584"/>
        <v>0</v>
      </c>
      <c r="AX68" s="3">
        <f t="shared" si="584"/>
        <v>0</v>
      </c>
      <c r="AY68" s="3">
        <f t="shared" si="584"/>
        <v>0</v>
      </c>
      <c r="AZ68" s="3">
        <f t="shared" si="584"/>
        <v>0</v>
      </c>
      <c r="BA68" s="3">
        <f t="shared" si="584"/>
        <v>0</v>
      </c>
      <c r="BB68" s="3">
        <f t="shared" ref="BB68" si="585">BA68+BB67</f>
        <v>0</v>
      </c>
      <c r="BC68" s="3">
        <f t="shared" ref="BC68" si="586">BB68+BC67</f>
        <v>0</v>
      </c>
      <c r="BD68" s="3">
        <f t="shared" ref="BD68" si="587">BC68+BD67</f>
        <v>0</v>
      </c>
      <c r="BE68" s="3">
        <f t="shared" ref="BE68" si="588">BD68+BE67</f>
        <v>0</v>
      </c>
      <c r="BF68" s="3">
        <f t="shared" ref="BF68" si="589">BE68+BF67</f>
        <v>0</v>
      </c>
      <c r="BG68" s="3">
        <f t="shared" ref="BG68" si="590">BF68+BG67</f>
        <v>0</v>
      </c>
      <c r="BH68" s="3">
        <f t="shared" ref="BH68" si="591">BG68+BH67</f>
        <v>0</v>
      </c>
      <c r="BI68" s="3">
        <f t="shared" ref="BI68" si="592">BH68+BI67</f>
        <v>0</v>
      </c>
      <c r="BJ68" s="3">
        <f t="shared" ref="BJ68" si="593">BI68+BJ67</f>
        <v>0</v>
      </c>
      <c r="BK68" s="3">
        <f t="shared" ref="BK68" si="594">BJ68+BK67</f>
        <v>0</v>
      </c>
      <c r="BL68" s="3">
        <f t="shared" ref="BL68" si="595">BK68+BL67</f>
        <v>0</v>
      </c>
      <c r="BM68" s="3">
        <f t="shared" ref="BM68" si="596">BL68+BM67</f>
        <v>0</v>
      </c>
      <c r="BN68" s="3">
        <f t="shared" ref="BN68" si="597">BM68+BN67</f>
        <v>0</v>
      </c>
      <c r="BO68" s="3">
        <f t="shared" ref="BO68" si="598">BN68+BO67</f>
        <v>0</v>
      </c>
      <c r="BP68" s="3">
        <f t="shared" ref="BP68" si="599">BO68+BP67</f>
        <v>0</v>
      </c>
      <c r="BQ68" s="3">
        <f t="shared" ref="BQ68" si="600">BP68+BQ67</f>
        <v>0</v>
      </c>
      <c r="BR68" s="3">
        <f t="shared" ref="BR68" si="601">BQ68+BR67</f>
        <v>0</v>
      </c>
      <c r="BS68" s="3">
        <f t="shared" ref="BS68" si="602">BR68+BS67</f>
        <v>0</v>
      </c>
      <c r="BT68" s="3">
        <f t="shared" ref="BT68" si="603">BS68+BT67</f>
        <v>0</v>
      </c>
      <c r="BU68" s="3">
        <f t="shared" ref="BU68" si="604">BT68+BU67</f>
        <v>0</v>
      </c>
      <c r="BV68" s="3">
        <f t="shared" ref="BV68" si="605">BU68+BV67</f>
        <v>0</v>
      </c>
      <c r="BW68" s="3">
        <f t="shared" ref="BW68" si="606">BV68+BW67</f>
        <v>0</v>
      </c>
      <c r="BX68" s="3">
        <f t="shared" ref="BX68" si="607">BW68+BX67</f>
        <v>0</v>
      </c>
      <c r="BY68" s="3">
        <f t="shared" ref="BY68" si="608">BX68+BY67</f>
        <v>0</v>
      </c>
      <c r="BZ68" s="3">
        <f t="shared" ref="BZ68" si="609">BY68+BZ67</f>
        <v>0</v>
      </c>
      <c r="CA68" s="3">
        <f t="shared" ref="CA68" si="610">BZ68+CA67</f>
        <v>0</v>
      </c>
      <c r="CB68" s="3">
        <f t="shared" ref="CB68" si="611">CA68+CB67</f>
        <v>0</v>
      </c>
      <c r="CC68" s="3">
        <f t="shared" ref="CC68" si="612">CB68+CC67</f>
        <v>0</v>
      </c>
      <c r="CD68" s="3">
        <f t="shared" ref="CD68" si="613">CC68+CD67</f>
        <v>0</v>
      </c>
      <c r="CE68" s="3">
        <f t="shared" ref="CE68" si="614">CD68+CE67</f>
        <v>0</v>
      </c>
      <c r="CF68" s="3">
        <f t="shared" ref="CF68" si="615">CE68+CF67</f>
        <v>0</v>
      </c>
      <c r="CG68" s="3">
        <f t="shared" ref="CG68" si="616">CF68+CG67</f>
        <v>0</v>
      </c>
      <c r="CH68" s="226">
        <f t="shared" ref="CH68" si="617">CG68+CH67</f>
        <v>0</v>
      </c>
    </row>
    <row r="69" spans="1:86">
      <c r="B69" s="493" t="s">
        <v>51</v>
      </c>
      <c r="C69" s="494"/>
      <c r="D69" s="36">
        <f>IF(D63&gt;0,D67/D63,)</f>
        <v>0</v>
      </c>
      <c r="E69" s="36">
        <f t="shared" ref="E69:BA69" si="618">IF(E63&gt;0,E67/E63,)</f>
        <v>0</v>
      </c>
      <c r="F69" s="36">
        <f t="shared" si="618"/>
        <v>0</v>
      </c>
      <c r="G69" s="36">
        <f t="shared" si="618"/>
        <v>0</v>
      </c>
      <c r="H69" s="36">
        <f t="shared" si="618"/>
        <v>0</v>
      </c>
      <c r="I69" s="36">
        <f t="shared" si="618"/>
        <v>0</v>
      </c>
      <c r="J69" s="36">
        <f t="shared" si="618"/>
        <v>0</v>
      </c>
      <c r="K69" s="36">
        <f t="shared" si="618"/>
        <v>0</v>
      </c>
      <c r="L69" s="36">
        <f t="shared" si="618"/>
        <v>0</v>
      </c>
      <c r="M69" s="36">
        <f t="shared" si="618"/>
        <v>0</v>
      </c>
      <c r="N69" s="36">
        <f t="shared" si="618"/>
        <v>0</v>
      </c>
      <c r="O69" s="36">
        <f t="shared" si="618"/>
        <v>0</v>
      </c>
      <c r="P69" s="36">
        <f t="shared" si="618"/>
        <v>0</v>
      </c>
      <c r="Q69" s="36">
        <f t="shared" si="618"/>
        <v>0</v>
      </c>
      <c r="R69" s="36">
        <f t="shared" si="618"/>
        <v>0</v>
      </c>
      <c r="S69" s="36">
        <f t="shared" si="618"/>
        <v>0</v>
      </c>
      <c r="T69" s="36">
        <f t="shared" si="618"/>
        <v>0</v>
      </c>
      <c r="U69" s="36">
        <f t="shared" si="618"/>
        <v>0</v>
      </c>
      <c r="V69" s="36">
        <f t="shared" si="618"/>
        <v>0</v>
      </c>
      <c r="W69" s="36">
        <f t="shared" si="618"/>
        <v>0</v>
      </c>
      <c r="X69" s="36">
        <f t="shared" si="618"/>
        <v>0</v>
      </c>
      <c r="Y69" s="36">
        <f t="shared" si="618"/>
        <v>0</v>
      </c>
      <c r="Z69" s="36">
        <f t="shared" si="618"/>
        <v>0</v>
      </c>
      <c r="AA69" s="36">
        <f t="shared" si="618"/>
        <v>0</v>
      </c>
      <c r="AB69" s="36">
        <f t="shared" si="618"/>
        <v>0</v>
      </c>
      <c r="AC69" s="36">
        <f t="shared" si="618"/>
        <v>0</v>
      </c>
      <c r="AD69" s="36">
        <f t="shared" si="618"/>
        <v>0</v>
      </c>
      <c r="AE69" s="36">
        <f t="shared" si="618"/>
        <v>0</v>
      </c>
      <c r="AF69" s="36">
        <f t="shared" si="618"/>
        <v>0</v>
      </c>
      <c r="AG69" s="36">
        <f t="shared" si="618"/>
        <v>0</v>
      </c>
      <c r="AH69" s="36">
        <f t="shared" si="618"/>
        <v>0</v>
      </c>
      <c r="AI69" s="36">
        <f t="shared" si="618"/>
        <v>0</v>
      </c>
      <c r="AJ69" s="36">
        <f t="shared" si="618"/>
        <v>0</v>
      </c>
      <c r="AK69" s="36">
        <f t="shared" si="618"/>
        <v>0</v>
      </c>
      <c r="AL69" s="36">
        <f t="shared" si="618"/>
        <v>0</v>
      </c>
      <c r="AM69" s="36">
        <f t="shared" si="618"/>
        <v>0</v>
      </c>
      <c r="AN69" s="36">
        <f t="shared" si="618"/>
        <v>0</v>
      </c>
      <c r="AO69" s="36">
        <f t="shared" si="618"/>
        <v>0</v>
      </c>
      <c r="AP69" s="36">
        <f t="shared" si="618"/>
        <v>0</v>
      </c>
      <c r="AQ69" s="36">
        <f t="shared" si="618"/>
        <v>0</v>
      </c>
      <c r="AR69" s="36">
        <f t="shared" si="618"/>
        <v>0</v>
      </c>
      <c r="AS69" s="36">
        <f t="shared" si="618"/>
        <v>0</v>
      </c>
      <c r="AT69" s="36">
        <f t="shared" si="618"/>
        <v>0</v>
      </c>
      <c r="AU69" s="36">
        <f t="shared" si="618"/>
        <v>0</v>
      </c>
      <c r="AV69" s="36">
        <f t="shared" si="618"/>
        <v>0</v>
      </c>
      <c r="AW69" s="36">
        <f t="shared" si="618"/>
        <v>0</v>
      </c>
      <c r="AX69" s="36">
        <f t="shared" si="618"/>
        <v>0</v>
      </c>
      <c r="AY69" s="36">
        <f t="shared" si="618"/>
        <v>0</v>
      </c>
      <c r="AZ69" s="36">
        <f t="shared" si="618"/>
        <v>0</v>
      </c>
      <c r="BA69" s="36">
        <f t="shared" si="618"/>
        <v>0</v>
      </c>
      <c r="BB69" s="36">
        <f t="shared" ref="BB69:CH69" si="619">IF(BB63&gt;0,BB67/BB63,)</f>
        <v>0</v>
      </c>
      <c r="BC69" s="36">
        <f t="shared" si="619"/>
        <v>0</v>
      </c>
      <c r="BD69" s="36">
        <f t="shared" si="619"/>
        <v>0</v>
      </c>
      <c r="BE69" s="36">
        <f t="shared" si="619"/>
        <v>0</v>
      </c>
      <c r="BF69" s="36">
        <f t="shared" si="619"/>
        <v>0</v>
      </c>
      <c r="BG69" s="36">
        <f t="shared" si="619"/>
        <v>0</v>
      </c>
      <c r="BH69" s="36">
        <f t="shared" si="619"/>
        <v>0</v>
      </c>
      <c r="BI69" s="36">
        <f t="shared" si="619"/>
        <v>0</v>
      </c>
      <c r="BJ69" s="36">
        <f t="shared" si="619"/>
        <v>0</v>
      </c>
      <c r="BK69" s="36">
        <f t="shared" si="619"/>
        <v>0</v>
      </c>
      <c r="BL69" s="36">
        <f t="shared" si="619"/>
        <v>0</v>
      </c>
      <c r="BM69" s="36">
        <f t="shared" si="619"/>
        <v>0</v>
      </c>
      <c r="BN69" s="36">
        <f t="shared" si="619"/>
        <v>0</v>
      </c>
      <c r="BO69" s="36">
        <f t="shared" si="619"/>
        <v>0</v>
      </c>
      <c r="BP69" s="36">
        <f t="shared" si="619"/>
        <v>0</v>
      </c>
      <c r="BQ69" s="36">
        <f t="shared" si="619"/>
        <v>0</v>
      </c>
      <c r="BR69" s="36">
        <f t="shared" si="619"/>
        <v>0</v>
      </c>
      <c r="BS69" s="36">
        <f t="shared" si="619"/>
        <v>0</v>
      </c>
      <c r="BT69" s="36">
        <f t="shared" si="619"/>
        <v>0</v>
      </c>
      <c r="BU69" s="36">
        <f t="shared" si="619"/>
        <v>0</v>
      </c>
      <c r="BV69" s="36">
        <f t="shared" si="619"/>
        <v>0</v>
      </c>
      <c r="BW69" s="36">
        <f t="shared" si="619"/>
        <v>0</v>
      </c>
      <c r="BX69" s="36">
        <f t="shared" si="619"/>
        <v>0</v>
      </c>
      <c r="BY69" s="36">
        <f t="shared" si="619"/>
        <v>0</v>
      </c>
      <c r="BZ69" s="36">
        <f t="shared" si="619"/>
        <v>0</v>
      </c>
      <c r="CA69" s="36">
        <f t="shared" si="619"/>
        <v>0</v>
      </c>
      <c r="CB69" s="36">
        <f t="shared" si="619"/>
        <v>0</v>
      </c>
      <c r="CC69" s="36">
        <f t="shared" si="619"/>
        <v>0</v>
      </c>
      <c r="CD69" s="36">
        <f t="shared" si="619"/>
        <v>0</v>
      </c>
      <c r="CE69" s="36">
        <f t="shared" si="619"/>
        <v>0</v>
      </c>
      <c r="CF69" s="36">
        <f t="shared" si="619"/>
        <v>0</v>
      </c>
      <c r="CG69" s="36">
        <f t="shared" si="619"/>
        <v>0</v>
      </c>
      <c r="CH69" s="237">
        <f t="shared" si="619"/>
        <v>0</v>
      </c>
    </row>
    <row r="70" spans="1:86">
      <c r="B70" s="493"/>
      <c r="C70" s="494"/>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36"/>
      <c r="AV70" s="36"/>
      <c r="AW70" s="36"/>
      <c r="AX70" s="36"/>
      <c r="AY70" s="36"/>
      <c r="AZ70" s="36"/>
      <c r="BA70" s="36"/>
      <c r="BB70" s="36"/>
      <c r="BC70" s="36"/>
      <c r="BD70" s="36"/>
      <c r="BE70" s="36"/>
      <c r="BF70" s="36"/>
      <c r="BG70" s="36"/>
      <c r="BH70" s="36"/>
      <c r="BI70" s="36"/>
      <c r="BJ70" s="36"/>
      <c r="BK70" s="36"/>
      <c r="BL70" s="36"/>
      <c r="BM70" s="36"/>
      <c r="BN70" s="36"/>
      <c r="BO70" s="36"/>
      <c r="BP70" s="36"/>
      <c r="BQ70" s="36"/>
      <c r="BR70" s="36"/>
      <c r="BS70" s="36"/>
      <c r="BT70" s="36"/>
      <c r="BU70" s="36"/>
      <c r="BV70" s="36"/>
      <c r="BW70" s="36"/>
      <c r="BX70" s="36"/>
      <c r="BY70" s="36"/>
      <c r="BZ70" s="36"/>
      <c r="CA70" s="36"/>
      <c r="CB70" s="36"/>
      <c r="CC70" s="36"/>
      <c r="CD70" s="36"/>
      <c r="CE70" s="36"/>
      <c r="CF70" s="36"/>
      <c r="CG70" s="36"/>
      <c r="CH70" s="237"/>
    </row>
    <row r="71" spans="1:86">
      <c r="B71" s="457" t="s">
        <v>45</v>
      </c>
      <c r="C71" s="458"/>
      <c r="D71" s="3">
        <f t="shared" ref="D71:AI71" si="620">D36+D53</f>
        <v>0</v>
      </c>
      <c r="E71" s="3">
        <f t="shared" si="620"/>
        <v>0</v>
      </c>
      <c r="F71" s="3">
        <f t="shared" si="620"/>
        <v>0</v>
      </c>
      <c r="G71" s="3">
        <f t="shared" si="620"/>
        <v>0</v>
      </c>
      <c r="H71" s="3">
        <f t="shared" si="620"/>
        <v>0</v>
      </c>
      <c r="I71" s="3">
        <f t="shared" si="620"/>
        <v>0</v>
      </c>
      <c r="J71" s="3">
        <f t="shared" si="620"/>
        <v>0</v>
      </c>
      <c r="K71" s="3">
        <f t="shared" si="620"/>
        <v>0</v>
      </c>
      <c r="L71" s="3">
        <f t="shared" si="620"/>
        <v>0</v>
      </c>
      <c r="M71" s="3">
        <f t="shared" si="620"/>
        <v>0</v>
      </c>
      <c r="N71" s="3">
        <f t="shared" si="620"/>
        <v>0</v>
      </c>
      <c r="O71" s="3">
        <f t="shared" si="620"/>
        <v>0</v>
      </c>
      <c r="P71" s="3">
        <f t="shared" si="620"/>
        <v>0</v>
      </c>
      <c r="Q71" s="3">
        <f t="shared" si="620"/>
        <v>0</v>
      </c>
      <c r="R71" s="3">
        <f t="shared" si="620"/>
        <v>0</v>
      </c>
      <c r="S71" s="3">
        <f t="shared" si="620"/>
        <v>0</v>
      </c>
      <c r="T71" s="3">
        <f t="shared" si="620"/>
        <v>0</v>
      </c>
      <c r="U71" s="3">
        <f t="shared" si="620"/>
        <v>0</v>
      </c>
      <c r="V71" s="3">
        <f t="shared" si="620"/>
        <v>0</v>
      </c>
      <c r="W71" s="3">
        <f t="shared" si="620"/>
        <v>0</v>
      </c>
      <c r="X71" s="3">
        <f t="shared" si="620"/>
        <v>0</v>
      </c>
      <c r="Y71" s="3">
        <f t="shared" si="620"/>
        <v>0</v>
      </c>
      <c r="Z71" s="3">
        <f t="shared" si="620"/>
        <v>0</v>
      </c>
      <c r="AA71" s="3">
        <f t="shared" si="620"/>
        <v>0</v>
      </c>
      <c r="AB71" s="3">
        <f t="shared" si="620"/>
        <v>0</v>
      </c>
      <c r="AC71" s="3">
        <f t="shared" si="620"/>
        <v>0</v>
      </c>
      <c r="AD71" s="3">
        <f t="shared" si="620"/>
        <v>0</v>
      </c>
      <c r="AE71" s="3">
        <f t="shared" si="620"/>
        <v>0</v>
      </c>
      <c r="AF71" s="3">
        <f t="shared" si="620"/>
        <v>0</v>
      </c>
      <c r="AG71" s="3">
        <f t="shared" si="620"/>
        <v>0</v>
      </c>
      <c r="AH71" s="3">
        <f t="shared" si="620"/>
        <v>0</v>
      </c>
      <c r="AI71" s="3">
        <f t="shared" si="620"/>
        <v>0</v>
      </c>
      <c r="AJ71" s="3">
        <f t="shared" ref="AJ71:BA71" si="621">AJ36+AJ53</f>
        <v>0</v>
      </c>
      <c r="AK71" s="3">
        <f t="shared" si="621"/>
        <v>0</v>
      </c>
      <c r="AL71" s="3">
        <f t="shared" si="621"/>
        <v>0</v>
      </c>
      <c r="AM71" s="3">
        <f t="shared" si="621"/>
        <v>0</v>
      </c>
      <c r="AN71" s="3">
        <f t="shared" si="621"/>
        <v>0</v>
      </c>
      <c r="AO71" s="3">
        <f t="shared" si="621"/>
        <v>0</v>
      </c>
      <c r="AP71" s="3">
        <f t="shared" si="621"/>
        <v>0</v>
      </c>
      <c r="AQ71" s="3">
        <f t="shared" si="621"/>
        <v>0</v>
      </c>
      <c r="AR71" s="3">
        <f t="shared" si="621"/>
        <v>0</v>
      </c>
      <c r="AS71" s="3">
        <f t="shared" si="621"/>
        <v>0</v>
      </c>
      <c r="AT71" s="3">
        <f t="shared" si="621"/>
        <v>0</v>
      </c>
      <c r="AU71" s="3">
        <f t="shared" si="621"/>
        <v>0</v>
      </c>
      <c r="AV71" s="3">
        <f t="shared" si="621"/>
        <v>0</v>
      </c>
      <c r="AW71" s="3">
        <f t="shared" si="621"/>
        <v>0</v>
      </c>
      <c r="AX71" s="3">
        <f t="shared" si="621"/>
        <v>0</v>
      </c>
      <c r="AY71" s="3">
        <f t="shared" si="621"/>
        <v>0</v>
      </c>
      <c r="AZ71" s="3">
        <f t="shared" si="621"/>
        <v>0</v>
      </c>
      <c r="BA71" s="3">
        <f t="shared" si="621"/>
        <v>0</v>
      </c>
      <c r="BB71" s="3">
        <f t="shared" ref="BB71:CH71" si="622">BB36+BB53</f>
        <v>0</v>
      </c>
      <c r="BC71" s="3">
        <f t="shared" si="622"/>
        <v>0</v>
      </c>
      <c r="BD71" s="3">
        <f t="shared" si="622"/>
        <v>0</v>
      </c>
      <c r="BE71" s="3">
        <f t="shared" si="622"/>
        <v>0</v>
      </c>
      <c r="BF71" s="3">
        <f t="shared" si="622"/>
        <v>0</v>
      </c>
      <c r="BG71" s="3">
        <f t="shared" si="622"/>
        <v>0</v>
      </c>
      <c r="BH71" s="3">
        <f t="shared" si="622"/>
        <v>0</v>
      </c>
      <c r="BI71" s="3">
        <f t="shared" si="622"/>
        <v>0</v>
      </c>
      <c r="BJ71" s="3">
        <f t="shared" si="622"/>
        <v>0</v>
      </c>
      <c r="BK71" s="3">
        <f t="shared" si="622"/>
        <v>0</v>
      </c>
      <c r="BL71" s="3">
        <f t="shared" si="622"/>
        <v>0</v>
      </c>
      <c r="BM71" s="3">
        <f t="shared" si="622"/>
        <v>0</v>
      </c>
      <c r="BN71" s="3">
        <f t="shared" si="622"/>
        <v>0</v>
      </c>
      <c r="BO71" s="3">
        <f t="shared" si="622"/>
        <v>0</v>
      </c>
      <c r="BP71" s="3">
        <f t="shared" si="622"/>
        <v>0</v>
      </c>
      <c r="BQ71" s="3">
        <f t="shared" si="622"/>
        <v>0</v>
      </c>
      <c r="BR71" s="3">
        <f t="shared" si="622"/>
        <v>0</v>
      </c>
      <c r="BS71" s="3">
        <f t="shared" si="622"/>
        <v>0</v>
      </c>
      <c r="BT71" s="3">
        <f t="shared" si="622"/>
        <v>0</v>
      </c>
      <c r="BU71" s="3">
        <f t="shared" si="622"/>
        <v>0</v>
      </c>
      <c r="BV71" s="3">
        <f t="shared" si="622"/>
        <v>0</v>
      </c>
      <c r="BW71" s="3">
        <f t="shared" si="622"/>
        <v>0</v>
      </c>
      <c r="BX71" s="3">
        <f t="shared" si="622"/>
        <v>0</v>
      </c>
      <c r="BY71" s="3">
        <f t="shared" si="622"/>
        <v>0</v>
      </c>
      <c r="BZ71" s="3">
        <f t="shared" si="622"/>
        <v>0</v>
      </c>
      <c r="CA71" s="3">
        <f t="shared" si="622"/>
        <v>0</v>
      </c>
      <c r="CB71" s="3">
        <f t="shared" si="622"/>
        <v>0</v>
      </c>
      <c r="CC71" s="3">
        <f t="shared" si="622"/>
        <v>0</v>
      </c>
      <c r="CD71" s="3">
        <f t="shared" si="622"/>
        <v>0</v>
      </c>
      <c r="CE71" s="3">
        <f t="shared" si="622"/>
        <v>0</v>
      </c>
      <c r="CF71" s="3">
        <f t="shared" si="622"/>
        <v>0</v>
      </c>
      <c r="CG71" s="3">
        <f t="shared" si="622"/>
        <v>0</v>
      </c>
      <c r="CH71" s="226">
        <f t="shared" si="622"/>
        <v>0</v>
      </c>
    </row>
    <row r="72" spans="1:86">
      <c r="B72" s="491" t="s">
        <v>55</v>
      </c>
      <c r="C72" s="492"/>
      <c r="D72" s="31">
        <f>IF(D63&gt;0,D71/D63,)</f>
        <v>0</v>
      </c>
      <c r="E72" s="31">
        <f t="shared" ref="E72:BA72" si="623">IF(E63&gt;0,E71/E63,)</f>
        <v>0</v>
      </c>
      <c r="F72" s="31">
        <f t="shared" si="623"/>
        <v>0</v>
      </c>
      <c r="G72" s="31">
        <f t="shared" si="623"/>
        <v>0</v>
      </c>
      <c r="H72" s="31">
        <f t="shared" si="623"/>
        <v>0</v>
      </c>
      <c r="I72" s="31">
        <f t="shared" si="623"/>
        <v>0</v>
      </c>
      <c r="J72" s="31">
        <f t="shared" si="623"/>
        <v>0</v>
      </c>
      <c r="K72" s="31">
        <f t="shared" si="623"/>
        <v>0</v>
      </c>
      <c r="L72" s="31">
        <f t="shared" si="623"/>
        <v>0</v>
      </c>
      <c r="M72" s="31">
        <f t="shared" si="623"/>
        <v>0</v>
      </c>
      <c r="N72" s="31">
        <f t="shared" si="623"/>
        <v>0</v>
      </c>
      <c r="O72" s="31">
        <f t="shared" si="623"/>
        <v>0</v>
      </c>
      <c r="P72" s="31">
        <f t="shared" si="623"/>
        <v>0</v>
      </c>
      <c r="Q72" s="31">
        <f t="shared" si="623"/>
        <v>0</v>
      </c>
      <c r="R72" s="31">
        <f t="shared" si="623"/>
        <v>0</v>
      </c>
      <c r="S72" s="31">
        <f t="shared" si="623"/>
        <v>0</v>
      </c>
      <c r="T72" s="31">
        <f t="shared" si="623"/>
        <v>0</v>
      </c>
      <c r="U72" s="31">
        <f t="shared" si="623"/>
        <v>0</v>
      </c>
      <c r="V72" s="31">
        <f t="shared" si="623"/>
        <v>0</v>
      </c>
      <c r="W72" s="31">
        <f t="shared" si="623"/>
        <v>0</v>
      </c>
      <c r="X72" s="31">
        <f t="shared" si="623"/>
        <v>0</v>
      </c>
      <c r="Y72" s="31">
        <f t="shared" si="623"/>
        <v>0</v>
      </c>
      <c r="Z72" s="31">
        <f t="shared" si="623"/>
        <v>0</v>
      </c>
      <c r="AA72" s="31">
        <f t="shared" si="623"/>
        <v>0</v>
      </c>
      <c r="AB72" s="31">
        <f t="shared" si="623"/>
        <v>0</v>
      </c>
      <c r="AC72" s="31">
        <f t="shared" si="623"/>
        <v>0</v>
      </c>
      <c r="AD72" s="31">
        <f t="shared" si="623"/>
        <v>0</v>
      </c>
      <c r="AE72" s="31">
        <f t="shared" si="623"/>
        <v>0</v>
      </c>
      <c r="AF72" s="31">
        <f t="shared" si="623"/>
        <v>0</v>
      </c>
      <c r="AG72" s="31">
        <f t="shared" si="623"/>
        <v>0</v>
      </c>
      <c r="AH72" s="31">
        <f t="shared" si="623"/>
        <v>0</v>
      </c>
      <c r="AI72" s="31">
        <f t="shared" si="623"/>
        <v>0</v>
      </c>
      <c r="AJ72" s="31">
        <f t="shared" si="623"/>
        <v>0</v>
      </c>
      <c r="AK72" s="31">
        <f t="shared" si="623"/>
        <v>0</v>
      </c>
      <c r="AL72" s="31">
        <f t="shared" si="623"/>
        <v>0</v>
      </c>
      <c r="AM72" s="31">
        <f t="shared" si="623"/>
        <v>0</v>
      </c>
      <c r="AN72" s="31">
        <f t="shared" si="623"/>
        <v>0</v>
      </c>
      <c r="AO72" s="31">
        <f t="shared" si="623"/>
        <v>0</v>
      </c>
      <c r="AP72" s="31">
        <f t="shared" si="623"/>
        <v>0</v>
      </c>
      <c r="AQ72" s="31">
        <f t="shared" si="623"/>
        <v>0</v>
      </c>
      <c r="AR72" s="31">
        <f t="shared" si="623"/>
        <v>0</v>
      </c>
      <c r="AS72" s="31">
        <f t="shared" si="623"/>
        <v>0</v>
      </c>
      <c r="AT72" s="31">
        <f t="shared" si="623"/>
        <v>0</v>
      </c>
      <c r="AU72" s="31">
        <f t="shared" si="623"/>
        <v>0</v>
      </c>
      <c r="AV72" s="31">
        <f t="shared" si="623"/>
        <v>0</v>
      </c>
      <c r="AW72" s="31">
        <f t="shared" si="623"/>
        <v>0</v>
      </c>
      <c r="AX72" s="31">
        <f t="shared" si="623"/>
        <v>0</v>
      </c>
      <c r="AY72" s="31">
        <f t="shared" si="623"/>
        <v>0</v>
      </c>
      <c r="AZ72" s="31">
        <f t="shared" si="623"/>
        <v>0</v>
      </c>
      <c r="BA72" s="31">
        <f t="shared" si="623"/>
        <v>0</v>
      </c>
      <c r="BB72" s="31">
        <f t="shared" ref="BB72:CH72" si="624">IF(BB63&gt;0,BB71/BB63,)</f>
        <v>0</v>
      </c>
      <c r="BC72" s="31">
        <f t="shared" si="624"/>
        <v>0</v>
      </c>
      <c r="BD72" s="31">
        <f t="shared" si="624"/>
        <v>0</v>
      </c>
      <c r="BE72" s="31">
        <f t="shared" si="624"/>
        <v>0</v>
      </c>
      <c r="BF72" s="31">
        <f t="shared" si="624"/>
        <v>0</v>
      </c>
      <c r="BG72" s="31">
        <f t="shared" si="624"/>
        <v>0</v>
      </c>
      <c r="BH72" s="31">
        <f t="shared" si="624"/>
        <v>0</v>
      </c>
      <c r="BI72" s="31">
        <f t="shared" si="624"/>
        <v>0</v>
      </c>
      <c r="BJ72" s="31">
        <f t="shared" si="624"/>
        <v>0</v>
      </c>
      <c r="BK72" s="31">
        <f t="shared" si="624"/>
        <v>0</v>
      </c>
      <c r="BL72" s="31">
        <f t="shared" si="624"/>
        <v>0</v>
      </c>
      <c r="BM72" s="31">
        <f t="shared" si="624"/>
        <v>0</v>
      </c>
      <c r="BN72" s="31">
        <f t="shared" si="624"/>
        <v>0</v>
      </c>
      <c r="BO72" s="31">
        <f t="shared" si="624"/>
        <v>0</v>
      </c>
      <c r="BP72" s="31">
        <f t="shared" si="624"/>
        <v>0</v>
      </c>
      <c r="BQ72" s="31">
        <f t="shared" si="624"/>
        <v>0</v>
      </c>
      <c r="BR72" s="31">
        <f t="shared" si="624"/>
        <v>0</v>
      </c>
      <c r="BS72" s="31">
        <f t="shared" si="624"/>
        <v>0</v>
      </c>
      <c r="BT72" s="31">
        <f t="shared" si="624"/>
        <v>0</v>
      </c>
      <c r="BU72" s="31">
        <f t="shared" si="624"/>
        <v>0</v>
      </c>
      <c r="BV72" s="31">
        <f t="shared" si="624"/>
        <v>0</v>
      </c>
      <c r="BW72" s="31">
        <f t="shared" si="624"/>
        <v>0</v>
      </c>
      <c r="BX72" s="31">
        <f t="shared" si="624"/>
        <v>0</v>
      </c>
      <c r="BY72" s="31">
        <f t="shared" si="624"/>
        <v>0</v>
      </c>
      <c r="BZ72" s="31">
        <f t="shared" si="624"/>
        <v>0</v>
      </c>
      <c r="CA72" s="31">
        <f t="shared" si="624"/>
        <v>0</v>
      </c>
      <c r="CB72" s="31">
        <f t="shared" si="624"/>
        <v>0</v>
      </c>
      <c r="CC72" s="31">
        <f t="shared" si="624"/>
        <v>0</v>
      </c>
      <c r="CD72" s="31">
        <f t="shared" si="624"/>
        <v>0</v>
      </c>
      <c r="CE72" s="31">
        <f t="shared" si="624"/>
        <v>0</v>
      </c>
      <c r="CF72" s="31">
        <f t="shared" si="624"/>
        <v>0</v>
      </c>
      <c r="CG72" s="31">
        <f t="shared" si="624"/>
        <v>0</v>
      </c>
      <c r="CH72" s="231">
        <f t="shared" si="624"/>
        <v>0</v>
      </c>
    </row>
    <row r="73" spans="1:86">
      <c r="B73" s="491"/>
      <c r="C73" s="492"/>
      <c r="D73" s="31"/>
      <c r="E73" s="31"/>
      <c r="F73" s="31"/>
      <c r="G73" s="31"/>
      <c r="H73" s="31"/>
      <c r="I73" s="31"/>
      <c r="J73" s="31"/>
      <c r="K73" s="31"/>
      <c r="L73" s="31"/>
      <c r="M73" s="31"/>
      <c r="N73" s="31"/>
      <c r="O73" s="31"/>
      <c r="P73" s="31"/>
      <c r="Q73" s="31"/>
      <c r="R73" s="31"/>
      <c r="S73" s="31"/>
      <c r="T73" s="31"/>
      <c r="U73" s="31"/>
      <c r="V73" s="31"/>
      <c r="W73" s="31"/>
      <c r="X73" s="31"/>
      <c r="Y73" s="31"/>
      <c r="Z73" s="31"/>
      <c r="AA73" s="31"/>
      <c r="AB73" s="31"/>
      <c r="AC73" s="31"/>
      <c r="AD73" s="31"/>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31"/>
      <c r="BX73" s="31"/>
      <c r="BY73" s="31"/>
      <c r="BZ73" s="31"/>
      <c r="CA73" s="31"/>
      <c r="CB73" s="31"/>
      <c r="CC73" s="31"/>
      <c r="CD73" s="31"/>
      <c r="CE73" s="31"/>
      <c r="CF73" s="31"/>
      <c r="CG73" s="31"/>
      <c r="CH73" s="231"/>
    </row>
    <row r="74" spans="1:86">
      <c r="B74" s="457" t="s">
        <v>46</v>
      </c>
      <c r="C74" s="458"/>
      <c r="D74" s="3">
        <f t="shared" ref="D74:AI74" si="625">D39+D56</f>
        <v>0</v>
      </c>
      <c r="E74" s="3">
        <f t="shared" si="625"/>
        <v>0</v>
      </c>
      <c r="F74" s="3">
        <f t="shared" si="625"/>
        <v>0</v>
      </c>
      <c r="G74" s="3">
        <f t="shared" si="625"/>
        <v>0</v>
      </c>
      <c r="H74" s="3">
        <f t="shared" si="625"/>
        <v>0</v>
      </c>
      <c r="I74" s="3">
        <f t="shared" si="625"/>
        <v>0</v>
      </c>
      <c r="J74" s="3">
        <f t="shared" si="625"/>
        <v>0</v>
      </c>
      <c r="K74" s="3">
        <f t="shared" si="625"/>
        <v>0</v>
      </c>
      <c r="L74" s="3">
        <f t="shared" si="625"/>
        <v>0</v>
      </c>
      <c r="M74" s="3">
        <f t="shared" si="625"/>
        <v>0</v>
      </c>
      <c r="N74" s="3">
        <f t="shared" si="625"/>
        <v>0</v>
      </c>
      <c r="O74" s="3">
        <f t="shared" si="625"/>
        <v>0</v>
      </c>
      <c r="P74" s="3">
        <f t="shared" si="625"/>
        <v>0</v>
      </c>
      <c r="Q74" s="3">
        <f t="shared" si="625"/>
        <v>0</v>
      </c>
      <c r="R74" s="3">
        <f t="shared" si="625"/>
        <v>0</v>
      </c>
      <c r="S74" s="3">
        <f t="shared" si="625"/>
        <v>0</v>
      </c>
      <c r="T74" s="3">
        <f t="shared" si="625"/>
        <v>0</v>
      </c>
      <c r="U74" s="3">
        <f t="shared" si="625"/>
        <v>0</v>
      </c>
      <c r="V74" s="3">
        <f t="shared" si="625"/>
        <v>0</v>
      </c>
      <c r="W74" s="3">
        <f t="shared" si="625"/>
        <v>0</v>
      </c>
      <c r="X74" s="3">
        <f t="shared" si="625"/>
        <v>0</v>
      </c>
      <c r="Y74" s="3">
        <f t="shared" si="625"/>
        <v>0</v>
      </c>
      <c r="Z74" s="3">
        <f t="shared" si="625"/>
        <v>0</v>
      </c>
      <c r="AA74" s="3">
        <f t="shared" si="625"/>
        <v>0</v>
      </c>
      <c r="AB74" s="3">
        <f t="shared" si="625"/>
        <v>0</v>
      </c>
      <c r="AC74" s="3">
        <f t="shared" si="625"/>
        <v>0</v>
      </c>
      <c r="AD74" s="3">
        <f t="shared" si="625"/>
        <v>0</v>
      </c>
      <c r="AE74" s="3">
        <f t="shared" si="625"/>
        <v>0</v>
      </c>
      <c r="AF74" s="3">
        <f t="shared" si="625"/>
        <v>0</v>
      </c>
      <c r="AG74" s="3">
        <f t="shared" si="625"/>
        <v>0</v>
      </c>
      <c r="AH74" s="3">
        <f t="shared" si="625"/>
        <v>0</v>
      </c>
      <c r="AI74" s="3">
        <f t="shared" si="625"/>
        <v>0</v>
      </c>
      <c r="AJ74" s="3">
        <f t="shared" ref="AJ74:BA74" si="626">AJ39+AJ56</f>
        <v>0</v>
      </c>
      <c r="AK74" s="3">
        <f t="shared" si="626"/>
        <v>0</v>
      </c>
      <c r="AL74" s="3">
        <f t="shared" si="626"/>
        <v>0</v>
      </c>
      <c r="AM74" s="3">
        <f t="shared" si="626"/>
        <v>0</v>
      </c>
      <c r="AN74" s="3">
        <f t="shared" si="626"/>
        <v>0</v>
      </c>
      <c r="AO74" s="3">
        <f t="shared" si="626"/>
        <v>0</v>
      </c>
      <c r="AP74" s="3">
        <f t="shared" si="626"/>
        <v>0</v>
      </c>
      <c r="AQ74" s="3">
        <f t="shared" si="626"/>
        <v>0</v>
      </c>
      <c r="AR74" s="3">
        <f t="shared" si="626"/>
        <v>0</v>
      </c>
      <c r="AS74" s="3">
        <f t="shared" si="626"/>
        <v>0</v>
      </c>
      <c r="AT74" s="3">
        <f t="shared" si="626"/>
        <v>0</v>
      </c>
      <c r="AU74" s="3">
        <f t="shared" si="626"/>
        <v>0</v>
      </c>
      <c r="AV74" s="3">
        <f t="shared" si="626"/>
        <v>0</v>
      </c>
      <c r="AW74" s="3">
        <f t="shared" si="626"/>
        <v>0</v>
      </c>
      <c r="AX74" s="3">
        <f t="shared" si="626"/>
        <v>0</v>
      </c>
      <c r="AY74" s="3">
        <f t="shared" si="626"/>
        <v>0</v>
      </c>
      <c r="AZ74" s="3">
        <f t="shared" si="626"/>
        <v>0</v>
      </c>
      <c r="BA74" s="3">
        <f t="shared" si="626"/>
        <v>0</v>
      </c>
      <c r="BB74" s="3">
        <f t="shared" ref="BB74:CH74" si="627">BB39+BB56</f>
        <v>0</v>
      </c>
      <c r="BC74" s="3">
        <f t="shared" si="627"/>
        <v>0</v>
      </c>
      <c r="BD74" s="3">
        <f t="shared" si="627"/>
        <v>0</v>
      </c>
      <c r="BE74" s="3">
        <f t="shared" si="627"/>
        <v>0</v>
      </c>
      <c r="BF74" s="3">
        <f t="shared" si="627"/>
        <v>0</v>
      </c>
      <c r="BG74" s="3">
        <f t="shared" si="627"/>
        <v>0</v>
      </c>
      <c r="BH74" s="3">
        <f t="shared" si="627"/>
        <v>0</v>
      </c>
      <c r="BI74" s="3">
        <f t="shared" si="627"/>
        <v>0</v>
      </c>
      <c r="BJ74" s="3">
        <f t="shared" si="627"/>
        <v>0</v>
      </c>
      <c r="BK74" s="3">
        <f t="shared" si="627"/>
        <v>0</v>
      </c>
      <c r="BL74" s="3">
        <f t="shared" si="627"/>
        <v>0</v>
      </c>
      <c r="BM74" s="3">
        <f t="shared" si="627"/>
        <v>0</v>
      </c>
      <c r="BN74" s="3">
        <f t="shared" si="627"/>
        <v>0</v>
      </c>
      <c r="BO74" s="3">
        <f t="shared" si="627"/>
        <v>0</v>
      </c>
      <c r="BP74" s="3">
        <f t="shared" si="627"/>
        <v>0</v>
      </c>
      <c r="BQ74" s="3">
        <f t="shared" si="627"/>
        <v>0</v>
      </c>
      <c r="BR74" s="3">
        <f t="shared" si="627"/>
        <v>0</v>
      </c>
      <c r="BS74" s="3">
        <f t="shared" si="627"/>
        <v>0</v>
      </c>
      <c r="BT74" s="3">
        <f t="shared" si="627"/>
        <v>0</v>
      </c>
      <c r="BU74" s="3">
        <f t="shared" si="627"/>
        <v>0</v>
      </c>
      <c r="BV74" s="3">
        <f t="shared" si="627"/>
        <v>0</v>
      </c>
      <c r="BW74" s="3">
        <f t="shared" si="627"/>
        <v>0</v>
      </c>
      <c r="BX74" s="3">
        <f t="shared" si="627"/>
        <v>0</v>
      </c>
      <c r="BY74" s="3">
        <f t="shared" si="627"/>
        <v>0</v>
      </c>
      <c r="BZ74" s="3">
        <f t="shared" si="627"/>
        <v>0</v>
      </c>
      <c r="CA74" s="3">
        <f t="shared" si="627"/>
        <v>0</v>
      </c>
      <c r="CB74" s="3">
        <f t="shared" si="627"/>
        <v>0</v>
      </c>
      <c r="CC74" s="3">
        <f t="shared" si="627"/>
        <v>0</v>
      </c>
      <c r="CD74" s="3">
        <f t="shared" si="627"/>
        <v>0</v>
      </c>
      <c r="CE74" s="3">
        <f t="shared" si="627"/>
        <v>0</v>
      </c>
      <c r="CF74" s="3">
        <f t="shared" si="627"/>
        <v>0</v>
      </c>
      <c r="CG74" s="3">
        <f t="shared" si="627"/>
        <v>0</v>
      </c>
      <c r="CH74" s="226">
        <f t="shared" si="627"/>
        <v>0</v>
      </c>
    </row>
    <row r="75" spans="1:86">
      <c r="B75" s="457" t="s">
        <v>48</v>
      </c>
      <c r="C75" s="458"/>
      <c r="D75" s="3">
        <f t="shared" ref="D75:AI75" si="628">D41+D58</f>
        <v>0</v>
      </c>
      <c r="E75" s="3">
        <f t="shared" si="628"/>
        <v>0</v>
      </c>
      <c r="F75" s="3">
        <f t="shared" si="628"/>
        <v>0</v>
      </c>
      <c r="G75" s="3">
        <f t="shared" si="628"/>
        <v>0</v>
      </c>
      <c r="H75" s="3">
        <f t="shared" si="628"/>
        <v>0</v>
      </c>
      <c r="I75" s="3">
        <f t="shared" si="628"/>
        <v>0</v>
      </c>
      <c r="J75" s="3">
        <f t="shared" si="628"/>
        <v>0</v>
      </c>
      <c r="K75" s="3">
        <f t="shared" si="628"/>
        <v>0</v>
      </c>
      <c r="L75" s="3">
        <f t="shared" si="628"/>
        <v>0</v>
      </c>
      <c r="M75" s="3">
        <f t="shared" si="628"/>
        <v>0</v>
      </c>
      <c r="N75" s="3">
        <f t="shared" si="628"/>
        <v>0</v>
      </c>
      <c r="O75" s="3">
        <f t="shared" si="628"/>
        <v>0</v>
      </c>
      <c r="P75" s="3">
        <f t="shared" si="628"/>
        <v>0</v>
      </c>
      <c r="Q75" s="3">
        <f t="shared" si="628"/>
        <v>0</v>
      </c>
      <c r="R75" s="3">
        <f t="shared" si="628"/>
        <v>0</v>
      </c>
      <c r="S75" s="3">
        <f t="shared" si="628"/>
        <v>0</v>
      </c>
      <c r="T75" s="3">
        <f t="shared" si="628"/>
        <v>0</v>
      </c>
      <c r="U75" s="3">
        <f t="shared" si="628"/>
        <v>0</v>
      </c>
      <c r="V75" s="3">
        <f t="shared" si="628"/>
        <v>0</v>
      </c>
      <c r="W75" s="3">
        <f t="shared" si="628"/>
        <v>0</v>
      </c>
      <c r="X75" s="3">
        <f t="shared" si="628"/>
        <v>0</v>
      </c>
      <c r="Y75" s="3">
        <f t="shared" si="628"/>
        <v>0</v>
      </c>
      <c r="Z75" s="3">
        <f t="shared" si="628"/>
        <v>0</v>
      </c>
      <c r="AA75" s="3">
        <f t="shared" si="628"/>
        <v>0</v>
      </c>
      <c r="AB75" s="3">
        <f t="shared" si="628"/>
        <v>0</v>
      </c>
      <c r="AC75" s="3">
        <f t="shared" si="628"/>
        <v>0</v>
      </c>
      <c r="AD75" s="3">
        <f t="shared" si="628"/>
        <v>0</v>
      </c>
      <c r="AE75" s="3">
        <f t="shared" si="628"/>
        <v>0</v>
      </c>
      <c r="AF75" s="3">
        <f t="shared" si="628"/>
        <v>0</v>
      </c>
      <c r="AG75" s="3">
        <f t="shared" si="628"/>
        <v>0</v>
      </c>
      <c r="AH75" s="3">
        <f t="shared" si="628"/>
        <v>0</v>
      </c>
      <c r="AI75" s="3">
        <f t="shared" si="628"/>
        <v>0</v>
      </c>
      <c r="AJ75" s="3">
        <f t="shared" ref="AJ75:BA75" si="629">AJ41+AJ58</f>
        <v>0</v>
      </c>
      <c r="AK75" s="3">
        <f t="shared" si="629"/>
        <v>0</v>
      </c>
      <c r="AL75" s="3">
        <f t="shared" si="629"/>
        <v>0</v>
      </c>
      <c r="AM75" s="3">
        <f t="shared" si="629"/>
        <v>0</v>
      </c>
      <c r="AN75" s="3">
        <f t="shared" si="629"/>
        <v>0</v>
      </c>
      <c r="AO75" s="3">
        <f t="shared" si="629"/>
        <v>0</v>
      </c>
      <c r="AP75" s="3">
        <f t="shared" si="629"/>
        <v>0</v>
      </c>
      <c r="AQ75" s="3">
        <f t="shared" si="629"/>
        <v>0</v>
      </c>
      <c r="AR75" s="3">
        <f t="shared" si="629"/>
        <v>0</v>
      </c>
      <c r="AS75" s="3">
        <f t="shared" si="629"/>
        <v>0</v>
      </c>
      <c r="AT75" s="3">
        <f t="shared" si="629"/>
        <v>0</v>
      </c>
      <c r="AU75" s="3">
        <f t="shared" si="629"/>
        <v>0</v>
      </c>
      <c r="AV75" s="3">
        <f t="shared" si="629"/>
        <v>0</v>
      </c>
      <c r="AW75" s="3">
        <f t="shared" si="629"/>
        <v>0</v>
      </c>
      <c r="AX75" s="3">
        <f t="shared" si="629"/>
        <v>0</v>
      </c>
      <c r="AY75" s="3">
        <f t="shared" si="629"/>
        <v>0</v>
      </c>
      <c r="AZ75" s="3">
        <f t="shared" si="629"/>
        <v>0</v>
      </c>
      <c r="BA75" s="3">
        <f t="shared" si="629"/>
        <v>0</v>
      </c>
      <c r="BB75" s="3">
        <f t="shared" ref="BB75:CH75" si="630">BB41+BB58</f>
        <v>0</v>
      </c>
      <c r="BC75" s="3">
        <f t="shared" si="630"/>
        <v>0</v>
      </c>
      <c r="BD75" s="3">
        <f t="shared" si="630"/>
        <v>0</v>
      </c>
      <c r="BE75" s="3">
        <f t="shared" si="630"/>
        <v>0</v>
      </c>
      <c r="BF75" s="3">
        <f t="shared" si="630"/>
        <v>0</v>
      </c>
      <c r="BG75" s="3">
        <f t="shared" si="630"/>
        <v>0</v>
      </c>
      <c r="BH75" s="3">
        <f t="shared" si="630"/>
        <v>0</v>
      </c>
      <c r="BI75" s="3">
        <f t="shared" si="630"/>
        <v>0</v>
      </c>
      <c r="BJ75" s="3">
        <f t="shared" si="630"/>
        <v>0</v>
      </c>
      <c r="BK75" s="3">
        <f t="shared" si="630"/>
        <v>0</v>
      </c>
      <c r="BL75" s="3">
        <f t="shared" si="630"/>
        <v>0</v>
      </c>
      <c r="BM75" s="3">
        <f t="shared" si="630"/>
        <v>0</v>
      </c>
      <c r="BN75" s="3">
        <f t="shared" si="630"/>
        <v>0</v>
      </c>
      <c r="BO75" s="3">
        <f t="shared" si="630"/>
        <v>0</v>
      </c>
      <c r="BP75" s="3">
        <f t="shared" si="630"/>
        <v>0</v>
      </c>
      <c r="BQ75" s="3">
        <f t="shared" si="630"/>
        <v>0</v>
      </c>
      <c r="BR75" s="3">
        <f t="shared" si="630"/>
        <v>0</v>
      </c>
      <c r="BS75" s="3">
        <f t="shared" si="630"/>
        <v>0</v>
      </c>
      <c r="BT75" s="3">
        <f t="shared" si="630"/>
        <v>0</v>
      </c>
      <c r="BU75" s="3">
        <f t="shared" si="630"/>
        <v>0</v>
      </c>
      <c r="BV75" s="3">
        <f t="shared" si="630"/>
        <v>0</v>
      </c>
      <c r="BW75" s="3">
        <f t="shared" si="630"/>
        <v>0</v>
      </c>
      <c r="BX75" s="3">
        <f t="shared" si="630"/>
        <v>0</v>
      </c>
      <c r="BY75" s="3">
        <f t="shared" si="630"/>
        <v>0</v>
      </c>
      <c r="BZ75" s="3">
        <f t="shared" si="630"/>
        <v>0</v>
      </c>
      <c r="CA75" s="3">
        <f t="shared" si="630"/>
        <v>0</v>
      </c>
      <c r="CB75" s="3">
        <f t="shared" si="630"/>
        <v>0</v>
      </c>
      <c r="CC75" s="3">
        <f t="shared" si="630"/>
        <v>0</v>
      </c>
      <c r="CD75" s="3">
        <f t="shared" si="630"/>
        <v>0</v>
      </c>
      <c r="CE75" s="3">
        <f t="shared" si="630"/>
        <v>0</v>
      </c>
      <c r="CF75" s="3">
        <f t="shared" si="630"/>
        <v>0</v>
      </c>
      <c r="CG75" s="3">
        <f t="shared" si="630"/>
        <v>0</v>
      </c>
      <c r="CH75" s="226">
        <f t="shared" si="630"/>
        <v>0</v>
      </c>
    </row>
    <row r="76" spans="1:86" ht="16" thickBot="1">
      <c r="B76" s="462" t="s">
        <v>26</v>
      </c>
      <c r="C76" s="463"/>
      <c r="D76" s="233">
        <f t="shared" ref="D76:AI76" si="631">D42+D59</f>
        <v>0</v>
      </c>
      <c r="E76" s="233">
        <f t="shared" si="631"/>
        <v>0</v>
      </c>
      <c r="F76" s="233">
        <f t="shared" si="631"/>
        <v>0</v>
      </c>
      <c r="G76" s="233">
        <f t="shared" si="631"/>
        <v>0</v>
      </c>
      <c r="H76" s="233">
        <f t="shared" si="631"/>
        <v>0</v>
      </c>
      <c r="I76" s="233">
        <f t="shared" si="631"/>
        <v>0</v>
      </c>
      <c r="J76" s="233">
        <f t="shared" si="631"/>
        <v>0</v>
      </c>
      <c r="K76" s="233">
        <f t="shared" si="631"/>
        <v>0</v>
      </c>
      <c r="L76" s="233">
        <f t="shared" si="631"/>
        <v>0</v>
      </c>
      <c r="M76" s="233">
        <f t="shared" si="631"/>
        <v>0</v>
      </c>
      <c r="N76" s="233">
        <f t="shared" si="631"/>
        <v>0</v>
      </c>
      <c r="O76" s="233">
        <f t="shared" si="631"/>
        <v>0</v>
      </c>
      <c r="P76" s="233">
        <f t="shared" si="631"/>
        <v>0</v>
      </c>
      <c r="Q76" s="233">
        <f t="shared" si="631"/>
        <v>0</v>
      </c>
      <c r="R76" s="233">
        <f t="shared" si="631"/>
        <v>0</v>
      </c>
      <c r="S76" s="233">
        <f t="shared" si="631"/>
        <v>0</v>
      </c>
      <c r="T76" s="233">
        <f t="shared" si="631"/>
        <v>0</v>
      </c>
      <c r="U76" s="233">
        <f t="shared" si="631"/>
        <v>0</v>
      </c>
      <c r="V76" s="233">
        <f t="shared" si="631"/>
        <v>0</v>
      </c>
      <c r="W76" s="233">
        <f t="shared" si="631"/>
        <v>0</v>
      </c>
      <c r="X76" s="233">
        <f t="shared" si="631"/>
        <v>0</v>
      </c>
      <c r="Y76" s="233">
        <f t="shared" si="631"/>
        <v>0</v>
      </c>
      <c r="Z76" s="233">
        <f t="shared" si="631"/>
        <v>0</v>
      </c>
      <c r="AA76" s="233">
        <f t="shared" si="631"/>
        <v>0</v>
      </c>
      <c r="AB76" s="233">
        <f t="shared" si="631"/>
        <v>0</v>
      </c>
      <c r="AC76" s="233">
        <f t="shared" si="631"/>
        <v>0</v>
      </c>
      <c r="AD76" s="233">
        <f t="shared" si="631"/>
        <v>0</v>
      </c>
      <c r="AE76" s="233">
        <f t="shared" si="631"/>
        <v>0</v>
      </c>
      <c r="AF76" s="233">
        <f t="shared" si="631"/>
        <v>0</v>
      </c>
      <c r="AG76" s="233">
        <f t="shared" si="631"/>
        <v>0</v>
      </c>
      <c r="AH76" s="233">
        <f t="shared" si="631"/>
        <v>0</v>
      </c>
      <c r="AI76" s="233">
        <f t="shared" si="631"/>
        <v>0</v>
      </c>
      <c r="AJ76" s="233">
        <f t="shared" ref="AJ76:BA76" si="632">AJ42+AJ59</f>
        <v>0</v>
      </c>
      <c r="AK76" s="233">
        <f t="shared" si="632"/>
        <v>0</v>
      </c>
      <c r="AL76" s="233">
        <f t="shared" si="632"/>
        <v>0</v>
      </c>
      <c r="AM76" s="233">
        <f t="shared" si="632"/>
        <v>0</v>
      </c>
      <c r="AN76" s="233">
        <f t="shared" si="632"/>
        <v>0</v>
      </c>
      <c r="AO76" s="233">
        <f t="shared" si="632"/>
        <v>0</v>
      </c>
      <c r="AP76" s="233">
        <f t="shared" si="632"/>
        <v>0</v>
      </c>
      <c r="AQ76" s="233">
        <f t="shared" si="632"/>
        <v>0</v>
      </c>
      <c r="AR76" s="233">
        <f t="shared" si="632"/>
        <v>0</v>
      </c>
      <c r="AS76" s="233">
        <f t="shared" si="632"/>
        <v>0</v>
      </c>
      <c r="AT76" s="233">
        <f t="shared" si="632"/>
        <v>0</v>
      </c>
      <c r="AU76" s="233">
        <f t="shared" si="632"/>
        <v>0</v>
      </c>
      <c r="AV76" s="233">
        <f t="shared" si="632"/>
        <v>0</v>
      </c>
      <c r="AW76" s="233">
        <f t="shared" si="632"/>
        <v>0</v>
      </c>
      <c r="AX76" s="233">
        <f t="shared" si="632"/>
        <v>0</v>
      </c>
      <c r="AY76" s="233">
        <f t="shared" si="632"/>
        <v>0</v>
      </c>
      <c r="AZ76" s="233">
        <f t="shared" si="632"/>
        <v>0</v>
      </c>
      <c r="BA76" s="233">
        <f t="shared" si="632"/>
        <v>0</v>
      </c>
      <c r="BB76" s="233">
        <f t="shared" ref="BB76:CH76" si="633">BB42+BB59</f>
        <v>0</v>
      </c>
      <c r="BC76" s="233">
        <f t="shared" si="633"/>
        <v>0</v>
      </c>
      <c r="BD76" s="233">
        <f t="shared" si="633"/>
        <v>0</v>
      </c>
      <c r="BE76" s="233">
        <f t="shared" si="633"/>
        <v>0</v>
      </c>
      <c r="BF76" s="233">
        <f t="shared" si="633"/>
        <v>0</v>
      </c>
      <c r="BG76" s="233">
        <f t="shared" si="633"/>
        <v>0</v>
      </c>
      <c r="BH76" s="233">
        <f t="shared" si="633"/>
        <v>0</v>
      </c>
      <c r="BI76" s="233">
        <f t="shared" si="633"/>
        <v>0</v>
      </c>
      <c r="BJ76" s="233">
        <f t="shared" si="633"/>
        <v>0</v>
      </c>
      <c r="BK76" s="233">
        <f t="shared" si="633"/>
        <v>0</v>
      </c>
      <c r="BL76" s="233">
        <f t="shared" si="633"/>
        <v>0</v>
      </c>
      <c r="BM76" s="233">
        <f t="shared" si="633"/>
        <v>0</v>
      </c>
      <c r="BN76" s="233">
        <f t="shared" si="633"/>
        <v>0</v>
      </c>
      <c r="BO76" s="233">
        <f t="shared" si="633"/>
        <v>0</v>
      </c>
      <c r="BP76" s="233">
        <f t="shared" si="633"/>
        <v>0</v>
      </c>
      <c r="BQ76" s="233">
        <f t="shared" si="633"/>
        <v>0</v>
      </c>
      <c r="BR76" s="233">
        <f t="shared" si="633"/>
        <v>0</v>
      </c>
      <c r="BS76" s="233">
        <f t="shared" si="633"/>
        <v>0</v>
      </c>
      <c r="BT76" s="233">
        <f t="shared" si="633"/>
        <v>0</v>
      </c>
      <c r="BU76" s="233">
        <f t="shared" si="633"/>
        <v>0</v>
      </c>
      <c r="BV76" s="233">
        <f t="shared" si="633"/>
        <v>0</v>
      </c>
      <c r="BW76" s="233">
        <f t="shared" si="633"/>
        <v>0</v>
      </c>
      <c r="BX76" s="233">
        <f t="shared" si="633"/>
        <v>0</v>
      </c>
      <c r="BY76" s="233">
        <f t="shared" si="633"/>
        <v>0</v>
      </c>
      <c r="BZ76" s="233">
        <f t="shared" si="633"/>
        <v>0</v>
      </c>
      <c r="CA76" s="233">
        <f t="shared" si="633"/>
        <v>0</v>
      </c>
      <c r="CB76" s="233">
        <f t="shared" si="633"/>
        <v>0</v>
      </c>
      <c r="CC76" s="233">
        <f t="shared" si="633"/>
        <v>0</v>
      </c>
      <c r="CD76" s="233">
        <f t="shared" si="633"/>
        <v>0</v>
      </c>
      <c r="CE76" s="233">
        <f t="shared" si="633"/>
        <v>0</v>
      </c>
      <c r="CF76" s="233">
        <f t="shared" si="633"/>
        <v>0</v>
      </c>
      <c r="CG76" s="233">
        <f t="shared" si="633"/>
        <v>0</v>
      </c>
      <c r="CH76" s="234">
        <f t="shared" si="633"/>
        <v>0</v>
      </c>
    </row>
    <row r="77" spans="1:86">
      <c r="D77" s="263">
        <f ca="1">D62</f>
        <v>2024</v>
      </c>
      <c r="E77" s="263">
        <f t="shared" ref="E77:BP77" ca="1" si="634">E62</f>
        <v>2025</v>
      </c>
      <c r="F77" s="263">
        <f t="shared" ca="1" si="634"/>
        <v>2026</v>
      </c>
      <c r="G77" s="263">
        <f t="shared" ca="1" si="634"/>
        <v>2027</v>
      </c>
      <c r="H77" s="263">
        <f t="shared" ca="1" si="634"/>
        <v>2028</v>
      </c>
      <c r="I77" s="263">
        <f t="shared" ca="1" si="634"/>
        <v>2029</v>
      </c>
      <c r="J77" s="263">
        <f t="shared" ca="1" si="634"/>
        <v>2030</v>
      </c>
      <c r="K77" s="263">
        <f t="shared" ca="1" si="634"/>
        <v>2031</v>
      </c>
      <c r="L77" s="263">
        <f t="shared" ca="1" si="634"/>
        <v>2032</v>
      </c>
      <c r="M77" s="263">
        <f t="shared" ca="1" si="634"/>
        <v>2033</v>
      </c>
      <c r="N77" s="263">
        <f t="shared" ca="1" si="634"/>
        <v>2034</v>
      </c>
      <c r="O77" s="263">
        <f t="shared" ca="1" si="634"/>
        <v>2035</v>
      </c>
      <c r="P77" s="263">
        <f t="shared" ca="1" si="634"/>
        <v>2036</v>
      </c>
      <c r="Q77" s="263">
        <f t="shared" ca="1" si="634"/>
        <v>2037</v>
      </c>
      <c r="R77" s="263">
        <f t="shared" ca="1" si="634"/>
        <v>2038</v>
      </c>
      <c r="S77" s="263">
        <f t="shared" ca="1" si="634"/>
        <v>2039</v>
      </c>
      <c r="T77" s="263">
        <f t="shared" ca="1" si="634"/>
        <v>2040</v>
      </c>
      <c r="U77" s="263">
        <f t="shared" ca="1" si="634"/>
        <v>2041</v>
      </c>
      <c r="V77" s="263">
        <f t="shared" ca="1" si="634"/>
        <v>2042</v>
      </c>
      <c r="W77" s="263">
        <f t="shared" ca="1" si="634"/>
        <v>2043</v>
      </c>
      <c r="X77" s="263">
        <f t="shared" ca="1" si="634"/>
        <v>2044</v>
      </c>
      <c r="Y77" s="263">
        <f t="shared" ca="1" si="634"/>
        <v>2045</v>
      </c>
      <c r="Z77" s="263">
        <f t="shared" ca="1" si="634"/>
        <v>2046</v>
      </c>
      <c r="AA77" s="263">
        <f t="shared" ca="1" si="634"/>
        <v>2047</v>
      </c>
      <c r="AB77" s="263">
        <f t="shared" ca="1" si="634"/>
        <v>2048</v>
      </c>
      <c r="AC77" s="263">
        <f t="shared" ca="1" si="634"/>
        <v>2049</v>
      </c>
      <c r="AD77" s="263">
        <f t="shared" ca="1" si="634"/>
        <v>2050</v>
      </c>
      <c r="AE77" s="263">
        <f t="shared" ca="1" si="634"/>
        <v>2051</v>
      </c>
      <c r="AF77" s="263">
        <f t="shared" ca="1" si="634"/>
        <v>2052</v>
      </c>
      <c r="AG77" s="263">
        <f t="shared" ca="1" si="634"/>
        <v>2053</v>
      </c>
      <c r="AH77" s="263">
        <f t="shared" ca="1" si="634"/>
        <v>2054</v>
      </c>
      <c r="AI77" s="263">
        <f t="shared" ca="1" si="634"/>
        <v>2055</v>
      </c>
      <c r="AJ77" s="263">
        <f t="shared" ca="1" si="634"/>
        <v>2056</v>
      </c>
      <c r="AK77" s="263">
        <f t="shared" ca="1" si="634"/>
        <v>2057</v>
      </c>
      <c r="AL77" s="263">
        <f t="shared" ca="1" si="634"/>
        <v>2058</v>
      </c>
      <c r="AM77" s="263">
        <f t="shared" ca="1" si="634"/>
        <v>2059</v>
      </c>
      <c r="AN77" s="263">
        <f t="shared" ca="1" si="634"/>
        <v>2060</v>
      </c>
      <c r="AO77" s="263">
        <f t="shared" ca="1" si="634"/>
        <v>2061</v>
      </c>
      <c r="AP77" s="263">
        <f t="shared" ca="1" si="634"/>
        <v>2062</v>
      </c>
      <c r="AQ77" s="263">
        <f t="shared" ca="1" si="634"/>
        <v>2063</v>
      </c>
      <c r="AR77" s="263">
        <f t="shared" ca="1" si="634"/>
        <v>2064</v>
      </c>
      <c r="AS77" s="263">
        <f t="shared" ca="1" si="634"/>
        <v>2065</v>
      </c>
      <c r="AT77" s="263">
        <f t="shared" ca="1" si="634"/>
        <v>2066</v>
      </c>
      <c r="AU77" s="263">
        <f t="shared" ca="1" si="634"/>
        <v>2067</v>
      </c>
      <c r="AV77" s="263">
        <f t="shared" ca="1" si="634"/>
        <v>2068</v>
      </c>
      <c r="AW77" s="263">
        <f t="shared" ca="1" si="634"/>
        <v>2069</v>
      </c>
      <c r="AX77" s="263">
        <f t="shared" ca="1" si="634"/>
        <v>2070</v>
      </c>
      <c r="AY77" s="263">
        <f t="shared" ca="1" si="634"/>
        <v>2071</v>
      </c>
      <c r="AZ77" s="263">
        <f t="shared" ca="1" si="634"/>
        <v>2072</v>
      </c>
      <c r="BA77" s="263">
        <f t="shared" ca="1" si="634"/>
        <v>2073</v>
      </c>
      <c r="BB77" s="263">
        <f t="shared" ca="1" si="634"/>
        <v>2074</v>
      </c>
      <c r="BC77" s="263">
        <f t="shared" ca="1" si="634"/>
        <v>2075</v>
      </c>
      <c r="BD77" s="263">
        <f t="shared" ca="1" si="634"/>
        <v>2076</v>
      </c>
      <c r="BE77" s="263">
        <f t="shared" ca="1" si="634"/>
        <v>2077</v>
      </c>
      <c r="BF77" s="263">
        <f t="shared" ca="1" si="634"/>
        <v>2078</v>
      </c>
      <c r="BG77" s="263">
        <f t="shared" ca="1" si="634"/>
        <v>2079</v>
      </c>
      <c r="BH77" s="263">
        <f t="shared" ca="1" si="634"/>
        <v>2080</v>
      </c>
      <c r="BI77" s="263">
        <f t="shared" ca="1" si="634"/>
        <v>2081</v>
      </c>
      <c r="BJ77" s="263">
        <f t="shared" ca="1" si="634"/>
        <v>2082</v>
      </c>
      <c r="BK77" s="263">
        <f t="shared" ca="1" si="634"/>
        <v>2083</v>
      </c>
      <c r="BL77" s="263">
        <f t="shared" ca="1" si="634"/>
        <v>2084</v>
      </c>
      <c r="BM77" s="263">
        <f t="shared" ca="1" si="634"/>
        <v>2085</v>
      </c>
      <c r="BN77" s="263">
        <f t="shared" ca="1" si="634"/>
        <v>2086</v>
      </c>
      <c r="BO77" s="263">
        <f t="shared" ca="1" si="634"/>
        <v>2087</v>
      </c>
      <c r="BP77" s="263">
        <f t="shared" ca="1" si="634"/>
        <v>2088</v>
      </c>
      <c r="BQ77" s="263">
        <f t="shared" ref="BQ77:CH77" ca="1" si="635">BQ62</f>
        <v>2089</v>
      </c>
      <c r="BR77" s="263">
        <f t="shared" ca="1" si="635"/>
        <v>2090</v>
      </c>
      <c r="BS77" s="263">
        <f t="shared" ca="1" si="635"/>
        <v>2091</v>
      </c>
      <c r="BT77" s="263">
        <f t="shared" ca="1" si="635"/>
        <v>2092</v>
      </c>
      <c r="BU77" s="263">
        <f t="shared" ca="1" si="635"/>
        <v>2093</v>
      </c>
      <c r="BV77" s="263">
        <f t="shared" ca="1" si="635"/>
        <v>2094</v>
      </c>
      <c r="BW77" s="263">
        <f t="shared" ca="1" si="635"/>
        <v>2095</v>
      </c>
      <c r="BX77" s="263">
        <f t="shared" ca="1" si="635"/>
        <v>2096</v>
      </c>
      <c r="BY77" s="263">
        <f t="shared" ca="1" si="635"/>
        <v>2097</v>
      </c>
      <c r="BZ77" s="263">
        <f t="shared" ca="1" si="635"/>
        <v>2098</v>
      </c>
      <c r="CA77" s="263">
        <f t="shared" ca="1" si="635"/>
        <v>2099</v>
      </c>
      <c r="CB77" s="263">
        <f t="shared" ca="1" si="635"/>
        <v>2100</v>
      </c>
      <c r="CC77" s="263">
        <f t="shared" ca="1" si="635"/>
        <v>2101</v>
      </c>
      <c r="CD77" s="263">
        <f t="shared" ca="1" si="635"/>
        <v>2102</v>
      </c>
      <c r="CE77" s="263">
        <f t="shared" ca="1" si="635"/>
        <v>2103</v>
      </c>
      <c r="CF77" s="263">
        <f t="shared" ca="1" si="635"/>
        <v>2104</v>
      </c>
      <c r="CG77" s="263">
        <f t="shared" ca="1" si="635"/>
        <v>2105</v>
      </c>
      <c r="CH77" s="263">
        <f t="shared" ca="1" si="635"/>
        <v>2106</v>
      </c>
    </row>
    <row r="78" spans="1:86">
      <c r="B78" s="107" t="s">
        <v>269</v>
      </c>
      <c r="C78" s="37"/>
      <c r="I78" s="5"/>
      <c r="J78" s="5"/>
      <c r="K78" s="5"/>
      <c r="L78" s="5"/>
    </row>
    <row r="79" spans="1:86">
      <c r="I79" s="5"/>
      <c r="J79" s="5"/>
      <c r="K79" s="5"/>
      <c r="L79" s="5"/>
    </row>
    <row r="80" spans="1:86">
      <c r="I80" s="5"/>
      <c r="J80" s="5"/>
      <c r="K80" s="5"/>
      <c r="L80" s="5"/>
    </row>
    <row r="81" spans="9:14">
      <c r="I81" s="5"/>
      <c r="J81" s="5"/>
      <c r="K81" s="5"/>
      <c r="L81" s="5"/>
    </row>
    <row r="82" spans="9:14">
      <c r="I82" s="5"/>
      <c r="J82" s="5"/>
      <c r="K82" s="5"/>
      <c r="L82" s="5"/>
    </row>
    <row r="83" spans="9:14">
      <c r="I83" s="5"/>
      <c r="J83" s="5"/>
      <c r="K83" s="5"/>
      <c r="L83" s="5"/>
    </row>
    <row r="84" spans="9:14">
      <c r="I84" s="5"/>
      <c r="J84" s="5"/>
      <c r="K84" s="5"/>
      <c r="L84" s="5"/>
    </row>
    <row r="85" spans="9:14">
      <c r="I85" s="5"/>
      <c r="J85" s="5"/>
      <c r="K85" s="5"/>
      <c r="L85" s="5"/>
    </row>
    <row r="86" spans="9:14">
      <c r="I86" s="5"/>
      <c r="J86" s="5"/>
      <c r="K86" s="5"/>
      <c r="L86" s="5"/>
    </row>
    <row r="87" spans="9:14">
      <c r="I87" s="5"/>
      <c r="J87" s="5"/>
      <c r="K87" s="5"/>
      <c r="L87" s="5"/>
    </row>
    <row r="88" spans="9:14">
      <c r="I88" s="5"/>
      <c r="J88" s="5"/>
      <c r="K88" s="5"/>
      <c r="L88" s="5"/>
    </row>
    <row r="90" spans="9:14" ht="18">
      <c r="N90" s="38"/>
    </row>
  </sheetData>
  <sheetProtection algorithmName="SHA-512" hashValue="wo5dg2MkCQedo+JiCpoqonyViyaVpuHeelSwbCS2qtX3VeyAvL7og82kPUiXMvmr44TSDxBKvxBKFkcIz/zd5g==" saltValue="R+Q6+pWB85Kf1MisCszdGw==" spinCount="100000" sheet="1" objects="1" scenarios="1" formatCells="0" formatColumns="0"/>
  <mergeCells count="54">
    <mergeCell ref="B17:C17"/>
    <mergeCell ref="E1:K3"/>
    <mergeCell ref="T1:U3"/>
    <mergeCell ref="B24:C24"/>
    <mergeCell ref="B25:C25"/>
    <mergeCell ref="B23:C23"/>
    <mergeCell ref="P1:R3"/>
    <mergeCell ref="B22:C22"/>
    <mergeCell ref="B1:C3"/>
    <mergeCell ref="B14:C14"/>
    <mergeCell ref="B15:C15"/>
    <mergeCell ref="B16:C16"/>
    <mergeCell ref="B21:C21"/>
    <mergeCell ref="B8:C8"/>
    <mergeCell ref="B9:C9"/>
    <mergeCell ref="B10:C10"/>
    <mergeCell ref="B75:C75"/>
    <mergeCell ref="B76:C76"/>
    <mergeCell ref="B63:C63"/>
    <mergeCell ref="B67:C67"/>
    <mergeCell ref="B68:C68"/>
    <mergeCell ref="B69:C69"/>
    <mergeCell ref="B71:C71"/>
    <mergeCell ref="B73:C73"/>
    <mergeCell ref="B70:C70"/>
    <mergeCell ref="B72:C72"/>
    <mergeCell ref="B74:C74"/>
    <mergeCell ref="B65:C65"/>
    <mergeCell ref="B59:C59"/>
    <mergeCell ref="B64:C64"/>
    <mergeCell ref="B47:C47"/>
    <mergeCell ref="B49:C49"/>
    <mergeCell ref="B50:C50"/>
    <mergeCell ref="B52:C52"/>
    <mergeCell ref="B53:C53"/>
    <mergeCell ref="B54:C54"/>
    <mergeCell ref="B56:C56"/>
    <mergeCell ref="B57:C57"/>
    <mergeCell ref="B58:C58"/>
    <mergeCell ref="B39:C39"/>
    <mergeCell ref="B40:C40"/>
    <mergeCell ref="B32:C32"/>
    <mergeCell ref="B33:C33"/>
    <mergeCell ref="B46:C46"/>
    <mergeCell ref="B42:C42"/>
    <mergeCell ref="B37:C37"/>
    <mergeCell ref="B38:C38"/>
    <mergeCell ref="B34:C34"/>
    <mergeCell ref="B41:C41"/>
    <mergeCell ref="B29:C29"/>
    <mergeCell ref="B30:C30"/>
    <mergeCell ref="B31:C31"/>
    <mergeCell ref="B35:C35"/>
    <mergeCell ref="B36:C36"/>
  </mergeCells>
  <dataValidations count="41">
    <dataValidation allowBlank="1" showInputMessage="1" showErrorMessage="1" promptTitle="Wertentwicklung" prompt="In diesem Bereich ist die Wertentwicklung im Verlauf für einen Zeitraum von 50 Jahren ab Kauf abgebildet." sqref="B12" xr:uid="{00000000-0002-0000-1400-000000000000}"/>
    <dataValidation allowBlank="1" showInputMessage="1" showErrorMessage="1" promptTitle="Abschreibung" prompt="In diesem Bereich ist die Abschreibung im Verlauf für einen Zeitraum von 50 Jahren ab Kauf abgebildet." sqref="B19" xr:uid="{00000000-0002-0000-1400-000001000000}"/>
    <dataValidation allowBlank="1" showInputMessage="1" showErrorMessage="1" promptTitle="Darlehensverlauf" prompt="In diesem Bereich ist der Verlauf des Darlehens für einen Zeitraum von 50 Jahren ab Kauf abgebildet." sqref="B27 B44" xr:uid="{00000000-0002-0000-1400-000002000000}"/>
    <dataValidation allowBlank="1" showInputMessage="1" showErrorMessage="1" promptTitle="Summe Darlehensverlauf" prompt="In diesem Bereich ist der Verlauf der Summe aller Darlehen für einen Zeitraum von 50 Jahren ab Kauf abgebildet." sqref="B61" xr:uid="{00000000-0002-0000-1400-000003000000}"/>
    <dataValidation allowBlank="1" showInputMessage="1" showErrorMessage="1" promptTitle="Wert der Immobilie Jahresanfang" prompt="Der Wert der Immobilie am Jahresanfang entspricht dem Wert der Immobilie am Ende des Vorjahres." sqref="B14:C14 E14:CH14" xr:uid="{00000000-0002-0000-1400-000004000000}"/>
    <dataValidation allowBlank="1" showInputMessage="1" showErrorMessage="1" promptTitle="Wert der Immobilie Jahresanfang" prompt="Der Wert der Immobilie am Jahresanfang von Jahr 1 entspricht dem Kaufpreis zzgl. der auf dem Reiter &quot;Cockpit&quot; bei den anfänglichen Investitionen festgelegten Wertsteigerungen." sqref="D14" xr:uid="{00000000-0002-0000-1400-000005000000}"/>
    <dataValidation allowBlank="1" showInputMessage="1" showErrorMessage="1" promptTitle="Nettovermögen" prompt="Nach Abzug der Summe aller Darlehens-Restschulden ergibt sich dieses aufgebaute Nettovermögen." sqref="B15:CH15" xr:uid="{00000000-0002-0000-1400-000006000000}"/>
    <dataValidation allowBlank="1" showInputMessage="1" showErrorMessage="1" promptTitle="Wertentwicklung" prompt="Diese Wertsteigerung ergibt sich für das jeweilige Jahr aus dem auf dem Reiter &quot;Cockpit&quot; festgelegten Prozentsatz für die jährliche Wertsteigerung." sqref="B16:CH16" xr:uid="{00000000-0002-0000-1400-000007000000}"/>
    <dataValidation allowBlank="1" showInputMessage="1" showErrorMessage="1" promptTitle="Wert der Immobilie Jahresende" prompt="Dies ist der neue Wert der Immobilie am Jahresende." sqref="B17:CH17" xr:uid="{00000000-0002-0000-1400-000008000000}"/>
    <dataValidation allowBlank="1" showInputMessage="1" showErrorMessage="1" promptTitle="Basis langfristige Abschreibung" prompt="Die Basis für die langfristige Abschreibung wird auf dem Reiter &quot;Cockpit&quot; ermittelt und bleibt unverändert. Sie wird im Laufe der Zeit in gleichen Teilen (linear) abgeschrieben." sqref="B21:CH21" xr:uid="{00000000-0002-0000-1400-000009000000}"/>
    <dataValidation allowBlank="1" showInputMessage="1" showErrorMessage="1" promptTitle="Abschreibungssatz pro Jahr" prompt="Der Abschreibungssatz pro Jahr wird auf dem Reiter &quot;Cockpit&quot; festgelegt und verändert sich im Zeitverlauf nicht (lineare Abschreibung)." sqref="B22:CH22" xr:uid="{00000000-0002-0000-1400-00000A000000}"/>
    <dataValidation allowBlank="1" showInputMessage="1" showErrorMessage="1" promptTitle="Abschreibung pro Jahr" prompt="Aus der Abschreibungsbasis und dem Abschreibungssatz ergibt sich diese Abschreibung pro Jahr." sqref="B23:CH23" xr:uid="{00000000-0002-0000-1400-00000B000000}"/>
    <dataValidation allowBlank="1" showInputMessage="1" showErrorMessage="1" promptTitle="Abschreibung pro Monat" prompt="Dies ist die sich ergebende monatliche Abschreibung." sqref="B24:CH24" xr:uid="{00000000-0002-0000-1400-00000C000000}"/>
    <dataValidation allowBlank="1" showInputMessage="1" showErrorMessage="1" promptTitle="Kumulierte Abschreibung" prompt="Die kumulierte Abschreibung dient der Ermittlung des Zeitpunktes der vollständigen Abschreibung. Sobald die komplette Abschreibungsbasis abgeschrieben wurde, erfolgt keine weitere Abschreibung mehr." sqref="B25:CH25" xr:uid="{00000000-0002-0000-1400-00000D000000}"/>
    <dataValidation type="decimal" operator="greaterThanOrEqual" allowBlank="1" showInputMessage="1" showErrorMessage="1" errorTitle="Zinsänderung" error="Bitte gib einen neuen Zinssatz in  % ein, bspw. 4%. Der Wert darf nicht negativ sein." promptTitle="Zinssatzänderung" prompt="Hier gibst du eine Zinssatzänderung ein. Bspw. für eine Anschlussfinanzierung. Die Änderung erfolgt rechnerisch zum Jahresanfang._x000a__x000a_Format: Neuer Zinssatz in %, bspw. 4%." sqref="E29:CH29 E46:CH46" xr:uid="{00000000-0002-0000-1400-00000E000000}">
      <formula1>0</formula1>
    </dataValidation>
    <dataValidation operator="greaterThanOrEqual" allowBlank="1" showInputMessage="1" showErrorMessage="1" promptTitle="Zinssatzänderung" prompt="Hier gibst du eine Zinssatzänderung ein. Bspw. für eine Anschlussfinanzierung. Die Änderung erfolgt rechnerisch zum Jahresanfang._x000a__x000a_Format: Neuer Zinssatz in %, bspw. 4%." sqref="B29:C29 B46:C46" xr:uid="{00000000-0002-0000-1400-00000F000000}"/>
    <dataValidation allowBlank="1" showInputMessage="1" showErrorMessage="1" promptTitle="Gültiger Zinssatz" prompt="Dies ist der Zinssatz, mit dem tatsächlich gerechnet wird. Dies ist entweder der Zinssatz der Vorperiode oder der hierüber geänderte Zinssatz." sqref="B30:CH30 B47:CH47" xr:uid="{00000000-0002-0000-1400-000010000000}"/>
    <dataValidation allowBlank="1" showInputMessage="1" showErrorMessage="1" promptTitle="Restschuld Periodenbeginn" prompt="Die Restschuld am Periodenbeginn (= Jahresanfang) entspricht der Restschuld am Ende der Vorperiode (= Vorjahresende)." sqref="B32:CH32 B49:CH49" xr:uid="{00000000-0002-0000-1400-000011000000}"/>
    <dataValidation allowBlank="1" showInputMessage="1" showErrorMessage="1" promptTitle="Zinsen" prompt="Diese Zinsen ergeben sich aus dem gültigen Zinssatz, der auf die Restschuld zu bezahlen ist." sqref="B33:CH33 B50:CH50" xr:uid="{00000000-0002-0000-1400-000012000000}"/>
    <dataValidation type="decimal" operator="greaterThanOrEqual" allowBlank="1" showInputMessage="1" showErrorMessage="1" errorTitle="Neue Soll-Tilgung" error="Bitte gib die neue Soll-Tilgung in Euro ein, bspw. 2000. Der Wert darf nicht negativ sein." promptTitle="Neue Soll-Tilgung" prompt="Hier kannst du die Höhe der Tilgung anpassen. Zusammen mit den darüber berechneten Zinsen ergibt sich eine neue (höhere / niedrigere) Annuität, die bis zu weiteren Änderungen aufrecht erhalten wird._x000a__x000a_Format: Neue Tilgung in Euro, bspw. 2000." sqref="B35:C35 E35:CH35 B52:C52 E52:CH52" xr:uid="{00000000-0002-0000-1400-000013000000}">
      <formula1>0</formula1>
    </dataValidation>
    <dataValidation allowBlank="1" showInputMessage="1" showErrorMessage="1" promptTitle="Effektive Tilgung" prompt="Dies ist die Tilgung, die in dem jeweiligen Jahr effektiv zum Tragen kommt. Sofern keine neue Soll-Tilgung eingegeben wurde, ergibt sie sich aus der bestehenden Annuität abzgl. der aktuellen Zinsen. Sie tilgt die Restschuld nie auf unter 0 Euro." sqref="B36:CH36 B53:CH53" xr:uid="{00000000-0002-0000-1400-000014000000}"/>
    <dataValidation allowBlank="1" showInputMessage="1" showErrorMessage="1" promptTitle="TIlgung entspricht % Restschuld" prompt="Die Tilgung im jeweilige Jahr entspricht diesem Prozentsatz der Restschuld. Hieran ist schön zu sehen, wie gegen Ende des Darlehens immer schneller ein immer höherer Anteil der Restschuld getilgt wird." sqref="B37:CH37 B54:CH54" xr:uid="{00000000-0002-0000-1400-000015000000}"/>
    <dataValidation allowBlank="1" showInputMessage="1" showErrorMessage="1" promptTitle="Annuität" prompt="Die Anuität ergibt sich aus den errechneten Zinsen im jeweiligen Jahr und der errechneten effektiven Tilgung. Sofern keine neue Soll-Tilgung definiert wird und die Zinsen sich nicht dramatisch ändern, bleibt sie konstant." sqref="B39:CH39 B56:CH56" xr:uid="{00000000-0002-0000-1400-000016000000}"/>
    <dataValidation type="decimal" operator="greaterThanOrEqual" allowBlank="1" showInputMessage="1" showErrorMessage="1" errorTitle="Einmalige Sondertilgung" error="Bitte gib die Sondertilgung in Euro ein, bspw. 2000. Der Wert darf nicht negativ sein." promptTitle="Einmalige Sondertilgung" prompt="Hier kannst du in jedem Jahr einmalige Sondertilgungen eingeben. Diese werden rechnerisch jeweils am Jahresende getätigt und vermindern dann die Restschuld. Du kannst nie auf unter 0 Euro Restschuld tilgen._x000a__x000a_Format: Sondertilgung in Euro, bspw. 2000." sqref="D40:CH40 D57:CH57" xr:uid="{00000000-0002-0000-1400-000017000000}">
      <formula1>0</formula1>
    </dataValidation>
    <dataValidation allowBlank="1" showInputMessage="1" showErrorMessage="1" promptTitle="Restschuld am Periodenende" prompt="Diese Restschuld ergibt sich nach der Tilgung (und einer eventuellen Sondertilgung) am Periodenende. Der Wert kann nie unter 0 Euro sinken." sqref="B41:CH41 B58:CH58" xr:uid="{00000000-0002-0000-1400-000018000000}"/>
    <dataValidation allowBlank="1" showInputMessage="1" showErrorMessage="1" promptTitle="Kapitaldienst pro Monat" prompt="Dieser Kapitaldienst pro Monat ergibt sich aus der neu errechneten Annuität. Er wird in allen übrigen Berechnungen des Tools verwendet." sqref="B42:CH42 B59:CH59" xr:uid="{00000000-0002-0000-1400-000019000000}"/>
    <dataValidation allowBlank="1" showInputMessage="1" showErrorMessage="1" promptTitle="Restschuld am Periodenbeginn" prompt="Dies ist die Summe der Restschulden aller Darlehen am Perodenbeginn bzw. Jahresanfang." sqref="B63:CH63" xr:uid="{00000000-0002-0000-1400-00001A000000}"/>
    <dataValidation allowBlank="1" showInputMessage="1" showErrorMessage="1" promptTitle="davon Restschuld Hauptdarlehen" prompt="Dieser Betrag der Restschuld am Periodenbeginn entfällt auf das Hauptdarlehen (Darlehen I). Dieser Wert wird für die grafische Aufbereitung auf den anderen Tabellenblättern benötigt." sqref="B64:CH64" xr:uid="{00000000-0002-0000-1400-00001B000000}"/>
    <dataValidation allowBlank="1" showInputMessage="1" showErrorMessage="1" promptTitle="Restschuld weitere Darlehen" prompt="Dieser Betrag der Restschuld am Periodenbeginn entfällt auf das Darlehen II. Dieser Wert wird für die grafische Aufbereitung auf den anderen Tabellenblättern benötigt." sqref="B65:CH65" xr:uid="{00000000-0002-0000-1400-00001C000000}"/>
    <dataValidation allowBlank="1" showInputMessage="1" showErrorMessage="1" promptTitle="Zinsen" prompt="Diese Zinsen fallen insgesamt für alle Darlehen an." sqref="B67:CH67" xr:uid="{00000000-0002-0000-1400-00001D000000}"/>
    <dataValidation allowBlank="1" showInputMessage="1" showErrorMessage="1" promptTitle="Kumulierte Zinsen" prompt="Dieser kumulierte Zinsaufwand ergibt sich aus den bisherigen Zinszahlungen aller Darlehen. Dieser Wert wird für die grafische Darstellung auf anderen Blättern benötigt." sqref="B68:CH68" xr:uid="{00000000-0002-0000-1400-00001E000000}"/>
    <dataValidation allowBlank="1" showInputMessage="1" showErrorMessage="1" promptTitle="Gewichteter Zinssatz" prompt="Diesem gewichteten Zinssatz entsprechen die ZInszahlungen bezogen auf die aktuelle Darlehensrestschuld." sqref="B69:CH69" xr:uid="{00000000-0002-0000-1400-00001F000000}"/>
    <dataValidation allowBlank="1" showInputMessage="1" showErrorMessage="1" promptTitle="Tilgung" prompt="Diese Tilgung fällt insgesamt für alle Darlehen an." sqref="B71:CH71" xr:uid="{00000000-0002-0000-1400-000020000000}"/>
    <dataValidation allowBlank="1" showInputMessage="1" showErrorMessage="1" promptTitle="Tilgung in % der Restschuld" prompt="Die Tilgung in der jeweiligen Periode entspricht diesem Prozentsatz der verblebenden Restschuld." sqref="B72:CH72" xr:uid="{00000000-0002-0000-1400-000021000000}"/>
    <dataValidation allowBlank="1" showInputMessage="1" showErrorMessage="1" promptTitle="Annuität" prompt="Diese Annuität ergibt sich für alle Darlehen zusammen." sqref="B74:CH74" xr:uid="{00000000-0002-0000-1400-000022000000}"/>
    <dataValidation allowBlank="1" showInputMessage="1" showErrorMessage="1" promptTitle="Restschuld am Periodenende" prompt="Diese Restschuld ergibt sich für alle Darlehen am Periodenende." sqref="B75:CH75" xr:uid="{00000000-0002-0000-1400-000023000000}"/>
    <dataValidation allowBlank="1" showInputMessage="1" showErrorMessage="1" promptTitle="Kapitaldienst" prompt="Dieser monatliche Kapitaldienst ergibt sich insgesamt für alle Darlehen zusammen." sqref="B76:CH76" xr:uid="{00000000-0002-0000-1400-000024000000}"/>
    <dataValidation allowBlank="1" showInputMessage="1" showErrorMessage="1" promptTitle="Warmmiete" prompt="Ergibt sich durch Addition der Nettokaltmiete (effektiv) und der umlagefähigen Kosten." sqref="B10:CH10" xr:uid="{00000000-0002-0000-1400-000025000000}"/>
    <dataValidation allowBlank="1" showInputMessage="1" showErrorMessage="1" promptTitle="Umlagefähige Kosten" prompt="Dies sind die umlagefähigen Kosten (pro Monat) im jeweiligen Jahr. Sie werden ausgehend von den Daten im Kauf-Jahr errechnet und steigern sich jedes Jahr um die auf dem Reiter &quot;Cockpit&quot; eingegebene Prozent-Zahl." sqref="B9:CH9" xr:uid="{00000000-0002-0000-1400-000026000000}"/>
    <dataValidation allowBlank="1" showInputMessage="1" showErrorMessage="1" promptTitle="Nettokaltmiete" prompt="Diese Nettokaltmiete ergibt sich im jeweiligen Jahr unter Berücksichtigung der auf dem Reiter &quot;Cockpit&quot; festgelegten jährlichen Mietsteigerung." sqref="B8:CH8" xr:uid="{00000000-0002-0000-1400-000027000000}"/>
    <dataValidation allowBlank="1" showInputMessage="1" showErrorMessage="1" promptTitle="Miete pro Monat" prompt="In diesem Bereich ist der Verlauf der monatlichen Miete über einen Zeitraum von 50 Jahren ab Kauf abgebildet._x000a__x000a_In der Profi-Version kann außerdem die Mietsteigerung auf Jahresebene geplant und eine MFH-Vermietung abgebildet werden." sqref="B6" xr:uid="{00000000-0002-0000-1400-000028000000}"/>
  </dataValidations>
  <hyperlinks>
    <hyperlink ref="B1:B3" location="Rendite!A1" display="Zurück zum Cockpit" xr:uid="{00000000-0004-0000-1400-000000000000}"/>
    <hyperlink ref="B1:C3" location="Cockpit!A1" display="zurück zum Cockpit" xr:uid="{00000000-0004-0000-1400-000001000000}"/>
    <hyperlink ref="B78" location="Deckblatt!A1" display="Keine Gewähr für die Richtigkeit der Angaben. Dieses Tool ersetzt keine fundierte Rechts-, Steuer- oder Finanzberatung. Mehr Details hier." xr:uid="{00000000-0004-0000-1400-000002000000}"/>
  </hyperlinks>
  <pageMargins left="0.23622047244094491" right="0.23622047244094491" top="0.74803149606299213" bottom="0.74803149606299213" header="0.31496062992125984" footer="0.31496062992125984"/>
  <pageSetup paperSize="9" scale="53" fitToWidth="0" fitToHeight="2"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6">
    <tabColor theme="3"/>
    <pageSetUpPr fitToPage="1"/>
  </sheetPr>
  <dimension ref="B1:R77"/>
  <sheetViews>
    <sheetView showGridLines="0" showRowColHeaders="0" zoomScaleNormal="100" workbookViewId="0">
      <pane ySplit="4" topLeftCell="A5" activePane="bottomLeft" state="frozen"/>
      <selection pane="bottomLeft" activeCell="V25" sqref="V25"/>
    </sheetView>
  </sheetViews>
  <sheetFormatPr baseColWidth="10" defaultColWidth="11.5" defaultRowHeight="15"/>
  <cols>
    <col min="1" max="1" width="11.5" style="5"/>
    <col min="2" max="2" width="11.5" style="5" customWidth="1"/>
    <col min="3" max="8" width="11.5" style="5"/>
    <col min="9" max="9" width="11.5" style="5" customWidth="1"/>
    <col min="10" max="11" width="11.5" style="5"/>
    <col min="12" max="12" width="22.5" style="5" customWidth="1"/>
    <col min="13" max="17" width="11.5" style="5"/>
    <col min="18" max="18" width="6" style="5" customWidth="1"/>
    <col min="19" max="16384" width="11.5" style="5"/>
  </cols>
  <sheetData>
    <row r="1" spans="2:18" s="113" customFormat="1" ht="12.75" customHeight="1">
      <c r="B1" s="505" t="s">
        <v>254</v>
      </c>
      <c r="C1" s="505"/>
      <c r="D1" s="505"/>
      <c r="E1" s="497" t="s">
        <v>117</v>
      </c>
      <c r="F1" s="497"/>
      <c r="G1" s="497"/>
      <c r="N1" s="481"/>
      <c r="O1" s="481"/>
    </row>
    <row r="2" spans="2:18" s="113" customFormat="1" ht="15" customHeight="1">
      <c r="B2" s="505"/>
      <c r="C2" s="505"/>
      <c r="D2" s="505"/>
      <c r="E2" s="497"/>
      <c r="F2" s="497"/>
      <c r="G2" s="497"/>
      <c r="N2" s="481"/>
      <c r="O2" s="481"/>
    </row>
    <row r="3" spans="2:18" s="113" customFormat="1" ht="12.75" customHeight="1">
      <c r="B3" s="505"/>
      <c r="C3" s="505"/>
      <c r="D3" s="505"/>
      <c r="E3" s="497"/>
      <c r="F3" s="497"/>
      <c r="G3" s="497"/>
      <c r="N3" s="481"/>
      <c r="O3" s="481"/>
    </row>
    <row r="4" spans="2:18" ht="18.75" customHeight="1">
      <c r="N4" s="4"/>
      <c r="O4" s="4"/>
      <c r="P4" s="4"/>
      <c r="Q4" s="4"/>
    </row>
    <row r="5" spans="2:18" ht="9" customHeight="1">
      <c r="N5" s="4"/>
      <c r="O5" s="4"/>
      <c r="P5" s="4"/>
      <c r="Q5" s="4"/>
    </row>
    <row r="6" spans="2:18" ht="28.5" customHeight="1">
      <c r="B6" s="504" t="str">
        <f>Cockpit!C9</f>
        <v>Bitte gib im roten Faden eine Adresse ein</v>
      </c>
      <c r="C6" s="504"/>
      <c r="D6" s="504"/>
      <c r="E6" s="504"/>
      <c r="F6" s="504"/>
      <c r="G6" s="504"/>
      <c r="H6" s="504"/>
      <c r="I6" s="504"/>
      <c r="J6" s="504"/>
      <c r="K6" s="504"/>
      <c r="L6" s="504"/>
      <c r="M6" s="504"/>
      <c r="N6" s="504"/>
      <c r="O6" s="504"/>
      <c r="P6" s="504"/>
      <c r="Q6" s="504"/>
      <c r="R6" s="504"/>
    </row>
    <row r="9" spans="2:18">
      <c r="M9" s="5" t="s">
        <v>61</v>
      </c>
      <c r="N9" s="5" t="s">
        <v>62</v>
      </c>
    </row>
    <row r="10" spans="2:18">
      <c r="C10" s="5" t="s">
        <v>1</v>
      </c>
      <c r="D10" s="6">
        <f>Cockpit!D14</f>
        <v>0</v>
      </c>
      <c r="H10" s="5" t="s">
        <v>261</v>
      </c>
      <c r="I10" s="6" t="e">
        <f>IF((Cockpit!N17)=0,#N/A,Cockpit!N17)</f>
        <v>#N/A</v>
      </c>
      <c r="L10" s="5" t="s">
        <v>13</v>
      </c>
      <c r="M10" s="5">
        <f>Cockpit!Q19</f>
        <v>0</v>
      </c>
    </row>
    <row r="11" spans="2:18">
      <c r="C11" s="5" t="s">
        <v>267</v>
      </c>
      <c r="D11" s="6" t="e">
        <f>IF(Cockpit!E21=0,#N/A,Cockpit!E21)</f>
        <v>#N/A</v>
      </c>
      <c r="H11" s="5" t="s">
        <v>218</v>
      </c>
      <c r="I11" s="6" t="e">
        <f>IF((Cockpit!N9-Cockpit!N17)=0,#N/A,Cockpit!N9-Cockpit!N17)</f>
        <v>#N/A</v>
      </c>
      <c r="L11" s="5" t="s">
        <v>317</v>
      </c>
      <c r="M11" s="5">
        <f>Cockpit!H9</f>
        <v>0</v>
      </c>
    </row>
    <row r="12" spans="2:18">
      <c r="C12" s="5" t="s">
        <v>268</v>
      </c>
      <c r="D12" s="6" t="e">
        <f>IF(Cockpit!C29=0,#N/A,Cockpit!C29)</f>
        <v>#N/A</v>
      </c>
      <c r="H12" s="5" t="s">
        <v>28</v>
      </c>
      <c r="I12" s="6">
        <f>Cockpit!N10</f>
        <v>0</v>
      </c>
      <c r="L12" s="5" t="s">
        <v>353</v>
      </c>
      <c r="N12" s="7">
        <f>Cockpit!K29</f>
        <v>0</v>
      </c>
    </row>
    <row r="13" spans="2:18">
      <c r="L13" s="5" t="s">
        <v>78</v>
      </c>
      <c r="N13" s="7">
        <f>-Cockpit!Q20</f>
        <v>0</v>
      </c>
    </row>
    <row r="14" spans="2:18">
      <c r="L14" s="5" t="s">
        <v>44</v>
      </c>
      <c r="N14" s="7">
        <f>-Cockpit!Q21</f>
        <v>0</v>
      </c>
    </row>
    <row r="15" spans="2:18">
      <c r="L15" s="5" t="s">
        <v>45</v>
      </c>
      <c r="N15" s="7">
        <f>-Cockpit!Q22</f>
        <v>0</v>
      </c>
    </row>
    <row r="16" spans="2:18">
      <c r="L16" s="5" t="s">
        <v>104</v>
      </c>
      <c r="N16" s="7">
        <f>-Cockpit!Q24</f>
        <v>0</v>
      </c>
    </row>
    <row r="17" spans="14:14">
      <c r="N17" s="7"/>
    </row>
    <row r="20" spans="14:14">
      <c r="N20" s="7"/>
    </row>
    <row r="52" ht="5.25" customHeight="1"/>
    <row r="53" ht="5.25" customHeight="1"/>
    <row r="54" ht="5.25" customHeight="1"/>
    <row r="77" spans="2:2">
      <c r="B77" s="107" t="s">
        <v>269</v>
      </c>
    </row>
  </sheetData>
  <sheetProtection algorithmName="SHA-512" hashValue="o++xjyQkAwkg1u9LH3MgVst9kPCwG81xl2RF/hhKth7r8YUhNA7BN6pT4ET0OB75PdKSMftc13vm9sZPTcRDmQ==" saltValue="+CjSTmMbnbP6cE53aVuuPw==" spinCount="100000" sheet="1" objects="1" scenarios="1" formatCells="0" formatColumns="0"/>
  <mergeCells count="4">
    <mergeCell ref="B6:R6"/>
    <mergeCell ref="B1:D3"/>
    <mergeCell ref="E1:G3"/>
    <mergeCell ref="N1:O3"/>
  </mergeCells>
  <hyperlinks>
    <hyperlink ref="B1:B3" location="Rendite!A1" display="Zurück zum Cockpit" xr:uid="{00000000-0004-0000-1500-000000000000}"/>
    <hyperlink ref="B1:D3" location="Cockpit!A1" display="zurück zum Cockpit" xr:uid="{00000000-0004-0000-1500-000001000000}"/>
    <hyperlink ref="B77" location="Deckblatt!A1" display="Keine Gewähr für die Richtigkeit der Angaben. Dieses Tool ersetzt keine fundierte Rechts-, Steuer- oder Finanzberatung. Mehr Details hier." xr:uid="{00000000-0004-0000-1500-000002000000}"/>
  </hyperlinks>
  <printOptions horizontalCentered="1"/>
  <pageMargins left="0.23622047244094491" right="0.23622047244094491" top="0.74803149606299213" bottom="0.74803149606299213" header="0.31496062992125984" footer="0.31496062992125984"/>
  <pageSetup paperSize="9" scale="64" fitToHeight="0" orientation="landscape" r:id="rId1"/>
  <rowBreaks count="1" manualBreakCount="1">
    <brk id="53" max="18"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7">
    <tabColor theme="3"/>
  </sheetPr>
  <dimension ref="B1:Q35"/>
  <sheetViews>
    <sheetView showGridLines="0" showRowColHeaders="0" workbookViewId="0">
      <pane ySplit="4" topLeftCell="A5" activePane="bottomLeft" state="frozen"/>
      <selection pane="bottomLeft" activeCell="B6" sqref="B6:E6"/>
    </sheetView>
  </sheetViews>
  <sheetFormatPr baseColWidth="10" defaultColWidth="11.5" defaultRowHeight="14"/>
  <cols>
    <col min="1" max="1" width="4.1640625" style="4" customWidth="1"/>
    <col min="2" max="2" width="22" style="4" customWidth="1"/>
    <col min="3" max="6" width="11.5" style="4"/>
    <col min="7" max="7" width="11.5" style="4" customWidth="1"/>
    <col min="8" max="8" width="23.5" style="4" customWidth="1"/>
    <col min="9" max="16384" width="11.5" style="4"/>
  </cols>
  <sheetData>
    <row r="1" spans="2:17" s="113" customFormat="1" ht="12.75" customHeight="1">
      <c r="B1" s="430" t="s">
        <v>254</v>
      </c>
      <c r="C1" s="430"/>
      <c r="D1" s="430"/>
      <c r="E1" s="442" t="s">
        <v>133</v>
      </c>
      <c r="F1" s="442"/>
      <c r="G1" s="442"/>
      <c r="H1" s="243"/>
      <c r="N1" s="430"/>
      <c r="O1" s="430"/>
    </row>
    <row r="2" spans="2:17" s="113" customFormat="1" ht="15" customHeight="1">
      <c r="B2" s="430"/>
      <c r="C2" s="430"/>
      <c r="D2" s="430"/>
      <c r="E2" s="442"/>
      <c r="F2" s="442"/>
      <c r="G2" s="442"/>
      <c r="H2" s="243"/>
      <c r="N2" s="430"/>
      <c r="O2" s="430"/>
    </row>
    <row r="3" spans="2:17" s="113" customFormat="1" ht="12.75" customHeight="1">
      <c r="B3" s="430"/>
      <c r="C3" s="430"/>
      <c r="D3" s="430"/>
      <c r="E3" s="442"/>
      <c r="F3" s="442"/>
      <c r="G3" s="442"/>
      <c r="H3" s="243"/>
      <c r="N3" s="430"/>
      <c r="O3" s="430"/>
    </row>
    <row r="4" spans="2:17" s="5" customFormat="1" ht="18.75" customHeight="1">
      <c r="N4" s="4"/>
      <c r="O4" s="4"/>
      <c r="P4" s="4"/>
      <c r="Q4" s="4"/>
    </row>
    <row r="5" spans="2:17" ht="15" thickBot="1"/>
    <row r="6" spans="2:17" ht="15" thickBot="1">
      <c r="B6" s="451" t="s">
        <v>70</v>
      </c>
      <c r="C6" s="461"/>
      <c r="D6" s="461"/>
      <c r="E6" s="452"/>
    </row>
    <row r="7" spans="2:17">
      <c r="B7" s="244" t="s">
        <v>73</v>
      </c>
      <c r="C7" s="245" t="s">
        <v>67</v>
      </c>
      <c r="D7" s="246" t="s">
        <v>69</v>
      </c>
      <c r="E7" s="247" t="s">
        <v>68</v>
      </c>
    </row>
    <row r="8" spans="2:17">
      <c r="B8" s="115" t="s">
        <v>17</v>
      </c>
      <c r="C8" s="370">
        <v>0.05</v>
      </c>
      <c r="D8" s="370">
        <v>0.04</v>
      </c>
      <c r="E8" s="371">
        <v>0.03</v>
      </c>
      <c r="F8" s="4" t="str">
        <f>IF(NOT(AND(C8&gt;D8,D8&gt;E8)),"Ungültige Kombination. Grün muss &gt; gelb muss &gt; rot sein.","")</f>
        <v/>
      </c>
    </row>
    <row r="9" spans="2:17">
      <c r="B9" s="115" t="s">
        <v>18</v>
      </c>
      <c r="C9" s="370">
        <v>0.04</v>
      </c>
      <c r="D9" s="370">
        <v>0.03</v>
      </c>
      <c r="E9" s="371">
        <v>0.02</v>
      </c>
      <c r="F9" s="4" t="str">
        <f>IF(NOT(AND(C9&gt;D9,D9&gt;E9)),"Ungültige Kombination. Grün muss &gt; gelb muss &gt; rot sein.","")</f>
        <v/>
      </c>
    </row>
    <row r="10" spans="2:17">
      <c r="B10" s="115" t="s">
        <v>71</v>
      </c>
      <c r="C10" s="248">
        <v>0.2</v>
      </c>
      <c r="D10" s="248">
        <v>0.1</v>
      </c>
      <c r="E10" s="249">
        <v>0.05</v>
      </c>
      <c r="F10" s="4" t="str">
        <f>IF(NOT(AND(C10&gt;D10,D10&gt;E10)),"Ungültige Kombination. Grün muss &gt; gelb muss &gt; rot sein.","")</f>
        <v/>
      </c>
    </row>
    <row r="11" spans="2:17">
      <c r="B11" s="115" t="s">
        <v>36</v>
      </c>
      <c r="C11" s="250">
        <f>Cockpit!Q22/4</f>
        <v>0</v>
      </c>
      <c r="D11" s="250">
        <f>Cockpit!Q22/2</f>
        <v>0</v>
      </c>
      <c r="E11" s="251">
        <f>Cockpit!Q22</f>
        <v>0</v>
      </c>
      <c r="F11" s="4" t="str">
        <f>IF(NOT(AND(C11&gt;D11,D11&gt;E11)),"Ungültige Kombination. Grün muss &gt; gelb muss &gt; rot sein.","")</f>
        <v>Ungültige Kombination. Grün muss &gt; gelb muss &gt; rot sein.</v>
      </c>
    </row>
    <row r="12" spans="2:17" ht="15" thickBot="1">
      <c r="B12" s="116" t="s">
        <v>72</v>
      </c>
      <c r="C12" s="252">
        <f>Cockpit!Q22/4</f>
        <v>0</v>
      </c>
      <c r="D12" s="252">
        <f>Cockpit!Q22/2</f>
        <v>0</v>
      </c>
      <c r="E12" s="253">
        <f>Cockpit!Q22</f>
        <v>0</v>
      </c>
      <c r="F12" s="4" t="str">
        <f>IF(NOT(AND(C12&gt;D12,D12&gt;E12)),"Ungültige Kombination. Grün muss &gt; gelb muss &gt; rot sein.","")</f>
        <v>Ungültige Kombination. Grün muss &gt; gelb muss &gt; rot sein.</v>
      </c>
    </row>
    <row r="13" spans="2:17" ht="15" thickBot="1"/>
    <row r="14" spans="2:17" ht="15" thickBot="1">
      <c r="B14" s="506" t="s">
        <v>300</v>
      </c>
      <c r="C14" s="507"/>
    </row>
    <row r="15" spans="2:17" ht="15.75" customHeight="1">
      <c r="B15" s="283" t="s">
        <v>356</v>
      </c>
      <c r="C15" s="357">
        <v>0</v>
      </c>
    </row>
    <row r="16" spans="2:17">
      <c r="B16" s="321" t="s">
        <v>283</v>
      </c>
      <c r="C16" s="322">
        <v>0.05</v>
      </c>
    </row>
    <row r="17" spans="2:3">
      <c r="B17" s="284" t="s">
        <v>284</v>
      </c>
      <c r="C17" s="286">
        <v>3.5000000000000003E-2</v>
      </c>
    </row>
    <row r="18" spans="2:3">
      <c r="B18" s="284" t="s">
        <v>285</v>
      </c>
      <c r="C18" s="286">
        <v>0.06</v>
      </c>
    </row>
    <row r="19" spans="2:3">
      <c r="B19" s="284" t="s">
        <v>286</v>
      </c>
      <c r="C19" s="286">
        <v>6.5000000000000002E-2</v>
      </c>
    </row>
    <row r="20" spans="2:3">
      <c r="B20" s="284" t="s">
        <v>287</v>
      </c>
      <c r="C20" s="286">
        <v>0.05</v>
      </c>
    </row>
    <row r="21" spans="2:3">
      <c r="B21" s="284" t="s">
        <v>288</v>
      </c>
      <c r="C21" s="286">
        <v>5.5E-2</v>
      </c>
    </row>
    <row r="22" spans="2:3">
      <c r="B22" s="284" t="s">
        <v>289</v>
      </c>
      <c r="C22" s="286">
        <v>0.06</v>
      </c>
    </row>
    <row r="23" spans="2:3">
      <c r="B23" s="284" t="s">
        <v>290</v>
      </c>
      <c r="C23" s="286">
        <v>0.06</v>
      </c>
    </row>
    <row r="24" spans="2:3">
      <c r="B24" s="284" t="s">
        <v>291</v>
      </c>
      <c r="C24" s="286">
        <v>0.05</v>
      </c>
    </row>
    <row r="25" spans="2:3">
      <c r="B25" s="284" t="s">
        <v>292</v>
      </c>
      <c r="C25" s="286">
        <v>6.5000000000000002E-2</v>
      </c>
    </row>
    <row r="26" spans="2:3">
      <c r="B26" s="284" t="s">
        <v>293</v>
      </c>
      <c r="C26" s="286">
        <v>0.05</v>
      </c>
    </row>
    <row r="27" spans="2:3">
      <c r="B27" s="284" t="s">
        <v>294</v>
      </c>
      <c r="C27" s="286">
        <v>6.5000000000000002E-2</v>
      </c>
    </row>
    <row r="28" spans="2:3">
      <c r="B28" s="284" t="s">
        <v>295</v>
      </c>
      <c r="C28" s="286">
        <v>5.5E-2</v>
      </c>
    </row>
    <row r="29" spans="2:3">
      <c r="B29" s="284" t="s">
        <v>296</v>
      </c>
      <c r="C29" s="286">
        <v>0.05</v>
      </c>
    </row>
    <row r="30" spans="2:3">
      <c r="B30" s="284" t="s">
        <v>297</v>
      </c>
      <c r="C30" s="286">
        <v>6.5000000000000002E-2</v>
      </c>
    </row>
    <row r="31" spans="2:3" ht="15" thickBot="1">
      <c r="B31" s="285" t="s">
        <v>298</v>
      </c>
      <c r="C31" s="287">
        <v>6.5000000000000002E-2</v>
      </c>
    </row>
    <row r="35" spans="2:5" ht="15">
      <c r="B35" s="107" t="s">
        <v>269</v>
      </c>
      <c r="E35" s="37"/>
    </row>
  </sheetData>
  <sheetProtection algorithmName="SHA-512" hashValue="6z0KnWslpqKPyBX1wOCR21qrUwNvQFOWDzoKRR9Yz7Br27cF1JNgSjMdzn7I5SJ4+rFLKK0Tn4Y/iB20edVvOw==" saltValue="F0GihkOn0VsX+5pdoH5wvg==" spinCount="100000" sheet="1" objects="1" scenarios="1" formatCells="0" formatColumns="0"/>
  <mergeCells count="5">
    <mergeCell ref="B6:E6"/>
    <mergeCell ref="E1:G3"/>
    <mergeCell ref="N1:O3"/>
    <mergeCell ref="B1:D3"/>
    <mergeCell ref="B14:C14"/>
  </mergeCells>
  <dataValidations count="17">
    <dataValidation type="decimal" operator="greaterThanOrEqual" allowBlank="1" showInputMessage="1" showErrorMessage="1" errorTitle="Bruttomietrendite" error="Bitte gib den Schwellwert für die Bruttomietrendite in % ein, bspw. 6%. Der Wert darf nicht negativ sein." promptTitle="Bruttomietrendite" prompt="Hier gibst du den Schwellwert für die Bruttomietrendite ein. Oberhalb dieses Wertes ist der Wert voll grün. Darunter tendiert er zu gelb._x000a__x000a_Format: Schwellwert in %, bspw. 6%." sqref="C8" xr:uid="{00000000-0002-0000-1600-000000000000}">
      <formula1>0</formula1>
    </dataValidation>
    <dataValidation type="decimal" allowBlank="1" showInputMessage="1" showErrorMessage="1" errorTitle="Cashflow nach Steuern" error="Bitte gib den Schwellwert für den Cashflow nach Steuern in Euro ein, bspw. 100 Euro." promptTitle="Cashflow nach Steuern" prompt="Hier gibst du den Schwellwert für den Cashflow nach Steuern ein. Oberhalb dieses Wertes tendiert der Wert zu gelb. Darunter ist er voll rot._x000a__x000a_Format: Schwellwert in Euro, bspw. -50." sqref="E12" xr:uid="{00000000-0002-0000-1600-000001000000}">
      <formula1>-999999</formula1>
      <formula2>999999</formula2>
    </dataValidation>
    <dataValidation type="decimal" allowBlank="1" showInputMessage="1" showErrorMessage="1" errorTitle="Cashflow operativ" error="Bitte gib den Schwellwert für den operativen Cashflow in Euro ein, bspw. 100 Euro." promptTitle="Cashflow operativ" prompt="Hier gibst du den Schwellwert für den operativen Cashflow ein. Oberhalb dieses Wertes ist der Wert voll grün. Darunter tendiert er zu gelb._x000a__x000a_Format: Schwellwert in Euro, bspw. 100." sqref="C11" xr:uid="{00000000-0002-0000-1600-000002000000}">
      <formula1>-999999</formula1>
      <formula2>999999</formula2>
    </dataValidation>
    <dataValidation type="decimal" allowBlank="1" showInputMessage="1" showErrorMessage="1" errorTitle="Cashflow operativ" error="Bitte gib den Schwellwert für den operativen Cashflow in Euro ein, bspw. 100 Euro." promptTitle="Cashflow operativ" prompt="Hier gibst du den Schwellwert für den operativen Cashflow ein. Oberhalb dieses Wertes tendiert der Wert zu grün. Darunter tendiert er zu rot._x000a__x000a_Format: Schwellwert in Euro, bspw. 0." sqref="D11" xr:uid="{00000000-0002-0000-1600-000003000000}">
      <formula1>-999999</formula1>
      <formula2>999999</formula2>
    </dataValidation>
    <dataValidation type="decimal" allowBlank="1" showInputMessage="1" showErrorMessage="1" errorTitle="Cashflow operativ" error="Bitte gib den Schwellwert für den operativen Cashflow in Euro ein, bspw. 100 Euro." promptTitle="Cashflow operativ" prompt="Hier gibst du den Schwellwert für den operativen Cashflow ein. Oberhalb dieses Wertes tendiert der Wert zu gelb. Darunter ist er voll rot._x000a__x000a_Format: Schwellwert in Euro, bspw. -50." sqref="E11" xr:uid="{00000000-0002-0000-1600-000004000000}">
      <formula1>-999999</formula1>
      <formula2>999999</formula2>
    </dataValidation>
    <dataValidation type="decimal" allowBlank="1" showInputMessage="1" showErrorMessage="1" errorTitle="Cashflow nach Steuern" error="Bitte gib den Schwellwert für den Cashflow nach Steuern in Euro ein, bspw. 100 Euro." promptTitle="Cashflow nach Steuern" prompt="Hier gibst du den Schwellwert für den Cashflow nach Steuern ein. Oberhalb dieses Wertes ist der Wert voll grün. Darunter tendiert er zu gelb._x000a__x000a_Format: Schwellwert in Euro, bspw. 100." sqref="C12" xr:uid="{00000000-0002-0000-1600-000005000000}">
      <formula1>-999999</formula1>
      <formula2>999999</formula2>
    </dataValidation>
    <dataValidation type="decimal" allowBlank="1" showInputMessage="1" showErrorMessage="1" errorTitle="Cashflow nach Steuern" error="Bitte gib den Schwellwert für den Cashflow nach Steuern in Euro ein, bspw. 100 Euro." promptTitle="Cashflow nach Steuern" prompt="Hier gibst du den Schwellwert für den Cashflow nach Steuern ein. Oberhalb dieses Wertes tendiert der Wert zu grün. Darunter tendiert er zu rot._x000a__x000a_Format: Schwellwert in Euro, bspw. 0." sqref="D12" xr:uid="{00000000-0002-0000-1600-000006000000}">
      <formula1>-999999</formula1>
      <formula2>999999</formula2>
    </dataValidation>
    <dataValidation type="decimal" operator="greaterThanOrEqual" allowBlank="1" showInputMessage="1" showErrorMessage="1" errorTitle="Bruttomietrendite" error="Bitte gib den Schwellwert für die Bruttomietrendite in % ein, bspw. 6%. Der Wert darf nicht negativ sein." promptTitle="Bruttomietrendite" prompt="Hier gibst du den Schwellwert für die Bruttomietrendite ein. Oberhalb dieses Wertes tendiert der Wert zu grün. Darunter tendiert er zu rot._x000a__x000a_Format: Schwellwert in %, bspw. 5%." sqref="D8" xr:uid="{00000000-0002-0000-1600-000007000000}">
      <formula1>0</formula1>
    </dataValidation>
    <dataValidation type="decimal" operator="greaterThanOrEqual" allowBlank="1" showInputMessage="1" showErrorMessage="1" errorTitle="Bruttomietrendite" error="Bitte gib den Schwellwert für die Bruttomietrendite in % ein, bspw. 6%. Der Wert darf nicht negativ sein." promptTitle="Bruttomietrendite" prompt="Hier gibst du den Schwellwert für die Bruttomietrendite ein. Oberhalb dieses Wertes tendiert der Wert zu gelb. Darunter ist er voll rot._x000a__x000a_Format: Schwellwert in %, bspw. 4%." sqref="E8" xr:uid="{00000000-0002-0000-1600-000008000000}">
      <formula1>0</formula1>
    </dataValidation>
    <dataValidation type="decimal" operator="greaterThanOrEqual" allowBlank="1" showInputMessage="1" showErrorMessage="1" errorTitle="Nettomietrendite" error="Bitte gib den Schwellwert für die Nettomietrendite in % ein, bspw. 6%. Der Wert darf nicht negativ sein." promptTitle="Nettomietrendite" prompt="Hier gibst du den Schwellwert für die Nettomietrendite ein. Oberhalb dieses Wertes tendiert der Wert zu gelb. Darunter ist er voll rot._x000a__x000a_Format: Schwellwert in %, bspw. 3%." sqref="E9" xr:uid="{00000000-0002-0000-1600-000009000000}">
      <formula1>0</formula1>
    </dataValidation>
    <dataValidation type="decimal" operator="greaterThanOrEqual" allowBlank="1" showInputMessage="1" showErrorMessage="1" errorTitle="Nettomietrendite" error="Bitte gib den Schwellwert für die Nettomietrendite in % ein, bspw. 6%. Der Wert darf nicht negativ sein." promptTitle="Nettomietrendite" prompt="Hier gibst du den Schwellwert für die Nettomietrendite ein. Oberhalb dieses Wertes tendiert der Wert zu grün. Darunter tendiert er zu rot._x000a__x000a_Format: Schwellwert in %, bspw. 4%." sqref="D9" xr:uid="{00000000-0002-0000-1600-00000A000000}">
      <formula1>0</formula1>
    </dataValidation>
    <dataValidation type="decimal" operator="greaterThanOrEqual" allowBlank="1" showInputMessage="1" showErrorMessage="1" errorTitle="Nettomietrendite" error="Bitte gib den Schwellwert für die Nettomietrendite in % ein, bspw. 6%. Der Wert darf nicht negativ sein." promptTitle="Nettomietrendite" prompt="Hier gibst du den Schwellwert für die Nettomietrendite ein. Oberhalb dieses Wertes ist der Wert voll grün. Darunter tendiert er zu gelb._x000a__x000a_Format: Schwellwert in %, bspw. 5%." sqref="C9" xr:uid="{00000000-0002-0000-1600-00000B000000}">
      <formula1>0</formula1>
    </dataValidation>
    <dataValidation type="decimal" operator="greaterThanOrEqual" allowBlank="1" showInputMessage="1" showErrorMessage="1" errorTitle="Eigenkapitalrendite" error="Bitte gib den Schwellwert für die Eigenkapitalrendite in % ein, bspw. 6%. Der Wert darf nicht negativ sein." promptTitle="Eigenkapitalrendite" prompt="Hier gibst du den Schwellwert für die Eigenkapitalrendite ein. Oberhalb dieses Wertes ist der Wert voll grün. Darunter tendiert er zu gelb._x000a__x000a_Format: Schwellwert in %, bspw. 20%." sqref="C10" xr:uid="{00000000-0002-0000-1600-00000C000000}">
      <formula1>0</formula1>
    </dataValidation>
    <dataValidation type="decimal" operator="greaterThanOrEqual" allowBlank="1" showInputMessage="1" showErrorMessage="1" errorTitle="Eigenkapitalrendite" error="Bitte gib den Schwellwert für die Eigenkapitalrendite in % ein, bspw. 6%. Der Wert darf nicht negativ sein." promptTitle="Eigenkapitalrendite" prompt="Hier gibst du den Schwellwert für die Eigenkapitalrendite ein. Oberhalb dieses Wertes tendiert der Wert zu grün. Darunter tendiert er zu rot._x000a__x000a_Format: Schwellwert in %, bspw. 10%." sqref="D10" xr:uid="{00000000-0002-0000-1600-00000D000000}">
      <formula1>0</formula1>
    </dataValidation>
    <dataValidation type="decimal" operator="greaterThanOrEqual" allowBlank="1" showInputMessage="1" showErrorMessage="1" errorTitle="Eigenkapitalrendite" error="Bitte gib den Schwellwert für die Eigenkapitalrendite in % ein, bspw. 6%. Der Wert darf nicht negativ sein." promptTitle="Eigenkapitalrendite" prompt="Hier gibst du den Schwellwert für die Eigenkapitalrendite ein. Oberhalb dieses Wertes tendiert der Wert zu gelb. Darunter ist er voll rot._x000a__x000a_Format: Schwellwert in %, bspw. 5%." sqref="E10" xr:uid="{00000000-0002-0000-1600-00000E000000}">
      <formula1>0</formula1>
    </dataValidation>
    <dataValidation allowBlank="1" showInputMessage="1" showErrorMessage="1" promptTitle="Schwellwerte Kennzahlen-Farben" prompt="Hier kannst du die Schwellwerte festlegen, die für die Formatierung der Kennzahlen auf den verschiedenen Tabellenblättern verwendet werden. Passe diese deinen Erwartungen und deinem Standort an." sqref="B6:E6" xr:uid="{00000000-0002-0000-1600-00000F000000}"/>
    <dataValidation allowBlank="1" showInputMessage="1" promptTitle="Grunderwerbsteuer" prompt="Hier kannst du bei Bedarf die Grunderwerbsteuer-Sätze für einzelne Bundesländer anpassen." sqref="B14" xr:uid="{00000000-0002-0000-1600-000010000000}"/>
  </dataValidations>
  <hyperlinks>
    <hyperlink ref="B1:B3" location="Rendite!A1" display="Zurück zum Cockpit" xr:uid="{00000000-0004-0000-1600-000000000000}"/>
    <hyperlink ref="B1:D3" location="Cockpit!A1" display="zurück zum Cockpit" xr:uid="{00000000-0004-0000-1600-000001000000}"/>
    <hyperlink ref="B35" location="Deckblatt!A1" display="Keine Gewähr für die Richtigkeit der Angaben. Dieses Tool ersetzt keine fundierte Rechts-, Steuer- oder Finanzberatung. Mehr Details hier." xr:uid="{00000000-0004-0000-1600-000002000000}"/>
  </hyperlinks>
  <pageMargins left="0.23622047244094491" right="0.23622047244094491" top="0.74803149606299213" bottom="0.74803149606299213" header="0.31496062992125984" footer="0.31496062992125984"/>
  <pageSetup paperSize="9"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3" tint="0.89999084444715716"/>
    <pageSetUpPr fitToPage="1"/>
  </sheetPr>
  <dimension ref="B1:T53"/>
  <sheetViews>
    <sheetView showGridLines="0" showRowColHeaders="0" zoomScaleNormal="100" workbookViewId="0">
      <pane ySplit="4" topLeftCell="A5" activePane="bottomLeft" state="frozen"/>
      <selection pane="bottomLeft" activeCell="D12" sqref="D12"/>
    </sheetView>
  </sheetViews>
  <sheetFormatPr baseColWidth="10" defaultColWidth="9.1640625" defaultRowHeight="15"/>
  <cols>
    <col min="1" max="1" width="9.1640625" style="24"/>
    <col min="2" max="2" width="2.5" style="24" customWidth="1"/>
    <col min="3" max="3" width="11" style="24" customWidth="1"/>
    <col min="4" max="6" width="9.1640625" style="24"/>
    <col min="7" max="7" width="5.33203125" style="24" customWidth="1"/>
    <col min="8" max="9" width="10.5" style="24" customWidth="1"/>
    <col min="10" max="10" width="5.5" style="24" customWidth="1"/>
    <col min="11" max="14" width="9.1640625" style="24"/>
    <col min="15" max="15" width="2.83203125" style="24" customWidth="1"/>
    <col min="16" max="16" width="2.5" style="24" customWidth="1"/>
    <col min="17" max="16384" width="9.1640625" style="24"/>
  </cols>
  <sheetData>
    <row r="1" spans="2:20" s="113" customFormat="1" ht="12.75" customHeight="1">
      <c r="B1" s="505" t="s">
        <v>263</v>
      </c>
      <c r="C1" s="505"/>
      <c r="D1" s="505"/>
      <c r="E1" s="505"/>
      <c r="F1" s="505"/>
      <c r="G1" s="482" t="s">
        <v>264</v>
      </c>
      <c r="H1" s="482"/>
      <c r="I1" s="482"/>
      <c r="J1" s="482"/>
      <c r="K1" s="482"/>
      <c r="L1" s="482"/>
      <c r="O1" s="177"/>
      <c r="S1" s="186"/>
      <c r="T1" s="254"/>
    </row>
    <row r="2" spans="2:20" s="113" customFormat="1" ht="15" customHeight="1">
      <c r="B2" s="505"/>
      <c r="C2" s="505"/>
      <c r="D2" s="505"/>
      <c r="E2" s="505"/>
      <c r="F2" s="505"/>
      <c r="G2" s="482"/>
      <c r="H2" s="482"/>
      <c r="I2" s="482"/>
      <c r="J2" s="482"/>
      <c r="K2" s="482"/>
      <c r="L2" s="482"/>
      <c r="O2" s="177"/>
      <c r="S2" s="186"/>
      <c r="T2" s="254"/>
    </row>
    <row r="3" spans="2:20" s="113" customFormat="1" ht="12.75" customHeight="1">
      <c r="B3" s="505"/>
      <c r="C3" s="505"/>
      <c r="D3" s="505"/>
      <c r="E3" s="505"/>
      <c r="F3" s="505"/>
      <c r="G3" s="482"/>
      <c r="H3" s="482"/>
      <c r="I3" s="482"/>
      <c r="J3" s="482"/>
      <c r="K3" s="482"/>
      <c r="L3" s="482"/>
      <c r="O3" s="177"/>
      <c r="S3" s="186"/>
      <c r="T3" s="254"/>
    </row>
    <row r="4" spans="2:20" s="5" customFormat="1" ht="18.75" customHeight="1">
      <c r="L4" s="4"/>
      <c r="M4" s="4"/>
      <c r="N4" s="4"/>
      <c r="O4" s="4"/>
    </row>
    <row r="6" spans="2:20" ht="7.5" customHeight="1">
      <c r="B6" s="39"/>
      <c r="C6" s="40"/>
      <c r="D6" s="40"/>
      <c r="E6" s="40"/>
      <c r="F6" s="40"/>
      <c r="G6" s="40"/>
      <c r="H6" s="40"/>
      <c r="I6" s="40"/>
      <c r="J6" s="40"/>
      <c r="K6" s="40"/>
      <c r="L6" s="40"/>
      <c r="M6" s="40"/>
      <c r="N6" s="40"/>
      <c r="O6" s="40"/>
      <c r="P6" s="41"/>
    </row>
    <row r="7" spans="2:20" ht="21">
      <c r="B7" s="42"/>
      <c r="C7" s="508" t="s">
        <v>134</v>
      </c>
      <c r="D7" s="508"/>
      <c r="E7" s="508"/>
      <c r="F7" s="508"/>
      <c r="G7" s="508"/>
      <c r="H7" s="508"/>
      <c r="I7" s="508"/>
      <c r="J7" s="508"/>
      <c r="K7" s="508"/>
      <c r="L7" s="508"/>
      <c r="M7" s="508"/>
      <c r="N7" s="508"/>
      <c r="O7" s="508"/>
      <c r="P7" s="43"/>
    </row>
    <row r="8" spans="2:20" ht="19">
      <c r="B8" s="42"/>
      <c r="C8" s="44" t="s">
        <v>135</v>
      </c>
      <c r="D8" s="45"/>
      <c r="E8" s="45"/>
      <c r="F8" s="45"/>
      <c r="G8" s="46"/>
      <c r="H8" s="45"/>
      <c r="I8" s="45"/>
      <c r="J8" s="45"/>
      <c r="K8" s="46"/>
      <c r="L8" s="46"/>
      <c r="M8" s="46"/>
      <c r="N8" s="44"/>
      <c r="O8" s="47" t="s">
        <v>136</v>
      </c>
      <c r="P8" s="43"/>
    </row>
    <row r="9" spans="2:20">
      <c r="B9" s="42"/>
      <c r="C9" s="46"/>
      <c r="D9" s="46"/>
      <c r="E9" s="46"/>
      <c r="F9" s="46"/>
      <c r="G9" s="46"/>
      <c r="H9" s="46"/>
      <c r="I9" s="46"/>
      <c r="J9" s="46"/>
      <c r="K9" s="46"/>
      <c r="L9" s="46"/>
      <c r="M9" s="46"/>
      <c r="N9" s="46"/>
      <c r="O9" s="46"/>
      <c r="P9" s="43"/>
    </row>
    <row r="10" spans="2:20">
      <c r="B10" s="42"/>
      <c r="C10" s="48" t="s">
        <v>137</v>
      </c>
      <c r="D10" s="49"/>
      <c r="E10" s="49"/>
      <c r="F10" s="49"/>
      <c r="G10" s="49"/>
      <c r="H10" s="49"/>
      <c r="I10" s="49"/>
      <c r="J10" s="49"/>
      <c r="K10" s="49"/>
      <c r="L10" s="49"/>
      <c r="M10" s="49"/>
      <c r="N10" s="49"/>
      <c r="O10" s="50"/>
      <c r="P10" s="43"/>
    </row>
    <row r="11" spans="2:20">
      <c r="B11" s="42"/>
      <c r="C11" s="51" t="s">
        <v>138</v>
      </c>
      <c r="D11" s="52" t="s">
        <v>135</v>
      </c>
      <c r="E11" s="52"/>
      <c r="F11" s="52"/>
      <c r="G11" s="52"/>
      <c r="H11" s="52"/>
      <c r="I11" s="52"/>
      <c r="J11" s="52"/>
      <c r="K11" s="52" t="s">
        <v>139</v>
      </c>
      <c r="L11" s="52"/>
      <c r="M11" s="52" t="s">
        <v>140</v>
      </c>
      <c r="N11" s="52"/>
      <c r="O11" s="53"/>
      <c r="P11" s="43"/>
    </row>
    <row r="12" spans="2:20">
      <c r="B12" s="42"/>
      <c r="C12" s="51" t="s">
        <v>141</v>
      </c>
      <c r="D12" s="52" t="s">
        <v>142</v>
      </c>
      <c r="E12" s="52"/>
      <c r="F12" s="52"/>
      <c r="G12" s="52"/>
      <c r="H12" s="52"/>
      <c r="I12" s="52"/>
      <c r="J12" s="52"/>
      <c r="K12" s="52" t="s">
        <v>143</v>
      </c>
      <c r="L12" s="52"/>
      <c r="M12" s="52" t="s">
        <v>144</v>
      </c>
      <c r="N12" s="52"/>
      <c r="O12" s="53"/>
      <c r="P12" s="43"/>
    </row>
    <row r="13" spans="2:20">
      <c r="B13" s="42"/>
      <c r="C13" s="54"/>
      <c r="D13" s="55" t="s">
        <v>145</v>
      </c>
      <c r="E13" s="55"/>
      <c r="F13" s="55"/>
      <c r="G13" s="55"/>
      <c r="H13" s="55"/>
      <c r="I13" s="55"/>
      <c r="J13" s="55"/>
      <c r="K13" s="55" t="s">
        <v>146</v>
      </c>
      <c r="L13" s="55"/>
      <c r="M13" s="55" t="s">
        <v>147</v>
      </c>
      <c r="N13" s="55"/>
      <c r="O13" s="56"/>
      <c r="P13" s="43"/>
    </row>
    <row r="14" spans="2:20">
      <c r="B14" s="42"/>
      <c r="C14" s="52"/>
      <c r="D14" s="52"/>
      <c r="E14" s="52"/>
      <c r="F14" s="52"/>
      <c r="G14" s="52"/>
      <c r="H14" s="52"/>
      <c r="I14" s="52"/>
      <c r="J14" s="52"/>
      <c r="K14" s="52"/>
      <c r="L14" s="52"/>
      <c r="M14" s="52"/>
      <c r="N14" s="52"/>
      <c r="O14" s="52"/>
      <c r="P14" s="43"/>
    </row>
    <row r="15" spans="2:20">
      <c r="B15" s="42"/>
      <c r="C15" s="57" t="s">
        <v>148</v>
      </c>
      <c r="D15" s="58"/>
      <c r="E15" s="58"/>
      <c r="F15" s="58"/>
      <c r="G15" s="58"/>
      <c r="H15" s="58"/>
      <c r="I15" s="58"/>
      <c r="J15" s="58"/>
      <c r="K15" s="58"/>
      <c r="L15" s="58"/>
      <c r="M15" s="58"/>
      <c r="N15" s="58"/>
      <c r="O15" s="59"/>
      <c r="P15" s="43"/>
    </row>
    <row r="16" spans="2:20" ht="9" customHeight="1">
      <c r="B16" s="42"/>
      <c r="C16" s="52"/>
      <c r="D16" s="52"/>
      <c r="E16" s="52"/>
      <c r="F16" s="52"/>
      <c r="G16" s="52"/>
      <c r="H16" s="52"/>
      <c r="I16" s="52"/>
      <c r="J16" s="52"/>
      <c r="K16" s="52"/>
      <c r="L16" s="52"/>
      <c r="M16" s="52"/>
      <c r="N16" s="52"/>
      <c r="O16" s="52"/>
      <c r="P16" s="43"/>
    </row>
    <row r="17" spans="2:16">
      <c r="B17" s="42"/>
      <c r="C17" s="60" t="s">
        <v>149</v>
      </c>
      <c r="D17" s="61"/>
      <c r="E17" s="61"/>
      <c r="F17" s="61"/>
      <c r="G17" s="61"/>
      <c r="H17" s="62" t="s">
        <v>150</v>
      </c>
      <c r="I17" s="62" t="s">
        <v>151</v>
      </c>
      <c r="J17" s="61"/>
      <c r="K17" s="61" t="s">
        <v>152</v>
      </c>
      <c r="L17" s="61"/>
      <c r="M17" s="61"/>
      <c r="N17" s="61"/>
      <c r="O17" s="63"/>
      <c r="P17" s="43"/>
    </row>
    <row r="18" spans="2:16">
      <c r="B18" s="42"/>
      <c r="C18" s="64" t="s">
        <v>153</v>
      </c>
      <c r="D18" s="65"/>
      <c r="E18" s="65"/>
      <c r="F18" s="65"/>
      <c r="G18" s="65"/>
      <c r="H18" s="66">
        <f>12*I18</f>
        <v>26400</v>
      </c>
      <c r="I18" s="66">
        <v>2200</v>
      </c>
      <c r="J18" s="65"/>
      <c r="K18" s="65"/>
      <c r="L18" s="65"/>
      <c r="M18" s="65"/>
      <c r="N18" s="65"/>
      <c r="O18" s="67"/>
      <c r="P18" s="43"/>
    </row>
    <row r="19" spans="2:16">
      <c r="B19" s="42"/>
      <c r="C19" s="64" t="s">
        <v>154</v>
      </c>
      <c r="D19" s="65"/>
      <c r="E19" s="65"/>
      <c r="F19" s="65"/>
      <c r="G19" s="65"/>
      <c r="H19" s="66">
        <f>12*I19</f>
        <v>2400</v>
      </c>
      <c r="I19" s="66">
        <v>200</v>
      </c>
      <c r="J19" s="65"/>
      <c r="K19" s="65"/>
      <c r="L19" s="65"/>
      <c r="M19" s="65"/>
      <c r="N19" s="65"/>
      <c r="O19" s="67"/>
      <c r="P19" s="43"/>
    </row>
    <row r="20" spans="2:16">
      <c r="B20" s="42"/>
      <c r="C20" s="68" t="s">
        <v>155</v>
      </c>
      <c r="D20" s="69"/>
      <c r="E20" s="69"/>
      <c r="F20" s="69"/>
      <c r="G20" s="69"/>
      <c r="H20" s="66">
        <f>12*I20</f>
        <v>0</v>
      </c>
      <c r="I20" s="70">
        <v>0</v>
      </c>
      <c r="J20" s="69"/>
      <c r="K20" s="69"/>
      <c r="L20" s="69"/>
      <c r="M20" s="69"/>
      <c r="N20" s="69"/>
      <c r="O20" s="71"/>
      <c r="P20" s="43"/>
    </row>
    <row r="21" spans="2:16">
      <c r="B21" s="42"/>
      <c r="C21" s="68" t="s">
        <v>156</v>
      </c>
      <c r="D21" s="69"/>
      <c r="E21" s="69"/>
      <c r="F21" s="69"/>
      <c r="G21" s="69"/>
      <c r="H21" s="70">
        <f t="shared" ref="H21:H25" si="0">12*I21</f>
        <v>0</v>
      </c>
      <c r="I21" s="70">
        <v>0</v>
      </c>
      <c r="J21" s="69"/>
      <c r="K21" s="69"/>
      <c r="L21" s="69"/>
      <c r="M21" s="69"/>
      <c r="N21" s="69"/>
      <c r="O21" s="71"/>
      <c r="P21" s="43"/>
    </row>
    <row r="22" spans="2:16">
      <c r="B22" s="42"/>
      <c r="C22" s="68" t="s">
        <v>44</v>
      </c>
      <c r="D22" s="69"/>
      <c r="E22" s="69"/>
      <c r="F22" s="69"/>
      <c r="G22" s="69"/>
      <c r="H22" s="70">
        <f t="shared" si="0"/>
        <v>600</v>
      </c>
      <c r="I22" s="70">
        <v>50</v>
      </c>
      <c r="J22" s="69"/>
      <c r="K22" s="69"/>
      <c r="L22" s="69"/>
      <c r="M22" s="69"/>
      <c r="N22" s="69"/>
      <c r="O22" s="71"/>
      <c r="P22" s="43"/>
    </row>
    <row r="23" spans="2:16">
      <c r="B23" s="42"/>
      <c r="C23" s="68" t="s">
        <v>157</v>
      </c>
      <c r="D23" s="69"/>
      <c r="E23" s="69"/>
      <c r="F23" s="69"/>
      <c r="G23" s="69"/>
      <c r="H23" s="70">
        <f t="shared" si="0"/>
        <v>3600</v>
      </c>
      <c r="I23" s="70">
        <v>300</v>
      </c>
      <c r="J23" s="69"/>
      <c r="K23" s="69"/>
      <c r="L23" s="69"/>
      <c r="M23" s="69"/>
      <c r="N23" s="69"/>
      <c r="O23" s="71"/>
      <c r="P23" s="43"/>
    </row>
    <row r="24" spans="2:16">
      <c r="B24" s="42"/>
      <c r="C24" s="68" t="s">
        <v>158</v>
      </c>
      <c r="D24" s="69"/>
      <c r="E24" s="69"/>
      <c r="F24" s="69"/>
      <c r="G24" s="69"/>
      <c r="H24" s="70">
        <f t="shared" si="0"/>
        <v>0</v>
      </c>
      <c r="I24" s="70">
        <v>0</v>
      </c>
      <c r="J24" s="69"/>
      <c r="K24" s="69"/>
      <c r="L24" s="69"/>
      <c r="M24" s="69"/>
      <c r="N24" s="69"/>
      <c r="O24" s="71"/>
      <c r="P24" s="43"/>
    </row>
    <row r="25" spans="2:16" ht="16" thickBot="1">
      <c r="B25" s="42"/>
      <c r="C25" s="68" t="s">
        <v>159</v>
      </c>
      <c r="D25" s="69"/>
      <c r="E25" s="69"/>
      <c r="F25" s="69"/>
      <c r="G25" s="69"/>
      <c r="H25" s="70">
        <f t="shared" si="0"/>
        <v>0</v>
      </c>
      <c r="I25" s="70">
        <v>0</v>
      </c>
      <c r="J25" s="69"/>
      <c r="K25" s="69"/>
      <c r="L25" s="69"/>
      <c r="M25" s="69"/>
      <c r="N25" s="69"/>
      <c r="O25" s="71"/>
      <c r="P25" s="43"/>
    </row>
    <row r="26" spans="2:16" ht="16" thickTop="1">
      <c r="B26" s="42"/>
      <c r="C26" s="72" t="s">
        <v>7</v>
      </c>
      <c r="D26" s="73"/>
      <c r="E26" s="73"/>
      <c r="F26" s="73"/>
      <c r="G26" s="73"/>
      <c r="H26" s="74">
        <f>12*I26</f>
        <v>33000</v>
      </c>
      <c r="I26" s="74">
        <f>SUM(I18:I25)</f>
        <v>2750</v>
      </c>
      <c r="J26" s="73"/>
      <c r="K26" s="73"/>
      <c r="L26" s="73"/>
      <c r="M26" s="73"/>
      <c r="N26" s="73"/>
      <c r="O26" s="75"/>
      <c r="P26" s="43"/>
    </row>
    <row r="27" spans="2:16" ht="9" customHeight="1">
      <c r="B27" s="42"/>
      <c r="C27" s="52"/>
      <c r="D27" s="52"/>
      <c r="E27" s="52"/>
      <c r="F27" s="52"/>
      <c r="G27" s="52"/>
      <c r="H27" s="52"/>
      <c r="I27" s="52"/>
      <c r="J27" s="52"/>
      <c r="K27" s="52"/>
      <c r="L27" s="52"/>
      <c r="M27" s="52"/>
      <c r="N27" s="52"/>
      <c r="O27" s="52"/>
      <c r="P27" s="43"/>
    </row>
    <row r="28" spans="2:16">
      <c r="B28" s="42"/>
      <c r="C28" s="76" t="s">
        <v>62</v>
      </c>
      <c r="D28" s="77"/>
      <c r="E28" s="77"/>
      <c r="F28" s="77"/>
      <c r="G28" s="77"/>
      <c r="H28" s="78" t="s">
        <v>150</v>
      </c>
      <c r="I28" s="62" t="s">
        <v>151</v>
      </c>
      <c r="J28" s="77"/>
      <c r="K28" s="77" t="s">
        <v>152</v>
      </c>
      <c r="L28" s="77"/>
      <c r="M28" s="77"/>
      <c r="N28" s="77"/>
      <c r="O28" s="79"/>
      <c r="P28" s="43"/>
    </row>
    <row r="29" spans="2:16">
      <c r="B29" s="42"/>
      <c r="C29" s="64" t="s">
        <v>160</v>
      </c>
      <c r="D29" s="65"/>
      <c r="E29" s="65"/>
      <c r="F29" s="65"/>
      <c r="G29" s="65"/>
      <c r="H29" s="80">
        <f>I29*12</f>
        <v>7800</v>
      </c>
      <c r="I29" s="80">
        <v>650</v>
      </c>
      <c r="J29" s="65"/>
      <c r="K29" s="69" t="s">
        <v>161</v>
      </c>
      <c r="L29" s="65"/>
      <c r="M29" s="65"/>
      <c r="N29" s="65"/>
      <c r="O29" s="67"/>
      <c r="P29" s="43"/>
    </row>
    <row r="30" spans="2:16">
      <c r="B30" s="42"/>
      <c r="C30" s="68" t="s">
        <v>162</v>
      </c>
      <c r="D30" s="69"/>
      <c r="E30" s="69"/>
      <c r="F30" s="69"/>
      <c r="G30" s="69"/>
      <c r="H30" s="81">
        <f>I30*12</f>
        <v>2400</v>
      </c>
      <c r="I30" s="81">
        <v>200</v>
      </c>
      <c r="J30" s="69"/>
      <c r="K30" s="69"/>
      <c r="L30" s="69"/>
      <c r="M30" s="69"/>
      <c r="N30" s="69"/>
      <c r="O30" s="71"/>
      <c r="P30" s="43"/>
    </row>
    <row r="31" spans="2:16">
      <c r="B31" s="42"/>
      <c r="C31" s="68" t="s">
        <v>163</v>
      </c>
      <c r="D31" s="69"/>
      <c r="E31" s="69"/>
      <c r="F31" s="69"/>
      <c r="G31" s="69"/>
      <c r="H31" s="81">
        <f>I31*12</f>
        <v>1200</v>
      </c>
      <c r="I31" s="81">
        <v>100</v>
      </c>
      <c r="J31" s="69"/>
      <c r="K31" s="69" t="s">
        <v>164</v>
      </c>
      <c r="L31" s="69"/>
      <c r="M31" s="69"/>
      <c r="N31" s="69"/>
      <c r="O31" s="71"/>
      <c r="P31" s="43"/>
    </row>
    <row r="32" spans="2:16">
      <c r="B32" s="42"/>
      <c r="C32" s="68" t="s">
        <v>165</v>
      </c>
      <c r="D32" s="69"/>
      <c r="E32" s="69"/>
      <c r="F32" s="69"/>
      <c r="G32" s="69"/>
      <c r="H32" s="81">
        <f t="shared" ref="H32:H45" si="1">I32*12</f>
        <v>1200</v>
      </c>
      <c r="I32" s="81">
        <v>100</v>
      </c>
      <c r="J32" s="69"/>
      <c r="K32" s="69" t="s">
        <v>166</v>
      </c>
      <c r="L32" s="69"/>
      <c r="M32" s="69"/>
      <c r="N32" s="69"/>
      <c r="O32" s="71"/>
      <c r="P32" s="43"/>
    </row>
    <row r="33" spans="2:16">
      <c r="B33" s="42"/>
      <c r="C33" s="68" t="s">
        <v>167</v>
      </c>
      <c r="D33" s="69"/>
      <c r="E33" s="69"/>
      <c r="F33" s="69"/>
      <c r="G33" s="69"/>
      <c r="H33" s="81">
        <f>I33*12</f>
        <v>900</v>
      </c>
      <c r="I33" s="81">
        <v>75</v>
      </c>
      <c r="J33" s="69"/>
      <c r="K33" s="69"/>
      <c r="L33" s="69"/>
      <c r="M33" s="69"/>
      <c r="N33" s="69"/>
      <c r="O33" s="71"/>
      <c r="P33" s="43"/>
    </row>
    <row r="34" spans="2:16">
      <c r="B34" s="42"/>
      <c r="C34" s="68" t="s">
        <v>168</v>
      </c>
      <c r="D34" s="69"/>
      <c r="E34" s="69"/>
      <c r="F34" s="69"/>
      <c r="G34" s="69"/>
      <c r="H34" s="81">
        <f t="shared" si="1"/>
        <v>1800</v>
      </c>
      <c r="I34" s="81">
        <v>150</v>
      </c>
      <c r="J34" s="69"/>
      <c r="K34" s="69" t="s">
        <v>169</v>
      </c>
      <c r="L34" s="69"/>
      <c r="M34" s="69"/>
      <c r="N34" s="69"/>
      <c r="O34" s="71"/>
      <c r="P34" s="43"/>
    </row>
    <row r="35" spans="2:16">
      <c r="B35" s="42"/>
      <c r="C35" s="68" t="s">
        <v>170</v>
      </c>
      <c r="D35" s="69"/>
      <c r="E35" s="69"/>
      <c r="F35" s="69"/>
      <c r="G35" s="69"/>
      <c r="H35" s="81">
        <f t="shared" si="1"/>
        <v>300</v>
      </c>
      <c r="I35" s="81">
        <v>25</v>
      </c>
      <c r="J35" s="69"/>
      <c r="K35" s="69"/>
      <c r="L35" s="69"/>
      <c r="M35" s="69"/>
      <c r="N35" s="69"/>
      <c r="O35" s="71"/>
      <c r="P35" s="43"/>
    </row>
    <row r="36" spans="2:16">
      <c r="B36" s="42"/>
      <c r="C36" s="68" t="s">
        <v>171</v>
      </c>
      <c r="D36" s="69"/>
      <c r="E36" s="69"/>
      <c r="F36" s="69"/>
      <c r="G36" s="69"/>
      <c r="H36" s="81">
        <f>I36*12</f>
        <v>600</v>
      </c>
      <c r="I36" s="81">
        <v>50</v>
      </c>
      <c r="J36" s="69"/>
      <c r="K36" s="69"/>
      <c r="L36" s="69"/>
      <c r="M36" s="69"/>
      <c r="N36" s="69"/>
      <c r="O36" s="71"/>
      <c r="P36" s="43"/>
    </row>
    <row r="37" spans="2:16">
      <c r="B37" s="42"/>
      <c r="C37" s="68" t="s">
        <v>172</v>
      </c>
      <c r="D37" s="69"/>
      <c r="E37" s="69"/>
      <c r="F37" s="69"/>
      <c r="G37" s="69"/>
      <c r="H37" s="81">
        <f t="shared" si="1"/>
        <v>600</v>
      </c>
      <c r="I37" s="81">
        <v>50</v>
      </c>
      <c r="J37" s="69"/>
      <c r="K37" s="69" t="s">
        <v>173</v>
      </c>
      <c r="L37" s="69"/>
      <c r="M37" s="69"/>
      <c r="N37" s="69"/>
      <c r="O37" s="71"/>
      <c r="P37" s="43"/>
    </row>
    <row r="38" spans="2:16">
      <c r="B38" s="42"/>
      <c r="C38" s="68" t="s">
        <v>174</v>
      </c>
      <c r="D38" s="69"/>
      <c r="E38" s="69"/>
      <c r="F38" s="69"/>
      <c r="G38" s="69"/>
      <c r="H38" s="81">
        <f t="shared" si="1"/>
        <v>1944</v>
      </c>
      <c r="I38" s="81">
        <v>162</v>
      </c>
      <c r="J38" s="69"/>
      <c r="K38" s="69" t="s">
        <v>175</v>
      </c>
      <c r="L38" s="69"/>
      <c r="M38" s="69"/>
      <c r="N38" s="69"/>
      <c r="O38" s="71"/>
      <c r="P38" s="43"/>
    </row>
    <row r="39" spans="2:16">
      <c r="B39" s="42"/>
      <c r="C39" s="68" t="s">
        <v>176</v>
      </c>
      <c r="D39" s="69"/>
      <c r="E39" s="69"/>
      <c r="F39" s="69"/>
      <c r="G39" s="69"/>
      <c r="H39" s="81">
        <f t="shared" si="1"/>
        <v>960</v>
      </c>
      <c r="I39" s="81">
        <v>80</v>
      </c>
      <c r="J39" s="69"/>
      <c r="K39" s="69" t="s">
        <v>177</v>
      </c>
      <c r="L39" s="69"/>
      <c r="M39" s="69"/>
      <c r="N39" s="69"/>
      <c r="O39" s="71"/>
      <c r="P39" s="43"/>
    </row>
    <row r="40" spans="2:16">
      <c r="B40" s="42"/>
      <c r="C40" s="68" t="s">
        <v>178</v>
      </c>
      <c r="D40" s="69"/>
      <c r="E40" s="69"/>
      <c r="F40" s="69"/>
      <c r="G40" s="69"/>
      <c r="H40" s="81">
        <f t="shared" si="1"/>
        <v>1044</v>
      </c>
      <c r="I40" s="81">
        <v>87</v>
      </c>
      <c r="J40" s="69"/>
      <c r="K40" s="69" t="s">
        <v>179</v>
      </c>
      <c r="L40" s="69"/>
      <c r="M40" s="69"/>
      <c r="N40" s="69"/>
      <c r="O40" s="71"/>
      <c r="P40" s="43"/>
    </row>
    <row r="41" spans="2:16">
      <c r="B41" s="42"/>
      <c r="C41" s="68" t="s">
        <v>180</v>
      </c>
      <c r="D41" s="69"/>
      <c r="E41" s="69"/>
      <c r="F41" s="69"/>
      <c r="G41" s="69"/>
      <c r="H41" s="81">
        <f t="shared" si="1"/>
        <v>2244</v>
      </c>
      <c r="I41" s="81">
        <v>187</v>
      </c>
      <c r="J41" s="69"/>
      <c r="K41" s="69"/>
      <c r="L41" s="69"/>
      <c r="M41" s="69"/>
      <c r="N41" s="69"/>
      <c r="O41" s="71"/>
      <c r="P41" s="43"/>
    </row>
    <row r="42" spans="2:16">
      <c r="B42" s="42"/>
      <c r="C42" s="68" t="s">
        <v>181</v>
      </c>
      <c r="D42" s="69"/>
      <c r="E42" s="69"/>
      <c r="F42" s="69"/>
      <c r="G42" s="69"/>
      <c r="H42" s="81">
        <f>I42*12</f>
        <v>0</v>
      </c>
      <c r="I42" s="81">
        <v>0</v>
      </c>
      <c r="J42" s="69"/>
      <c r="K42" s="69"/>
      <c r="L42" s="69"/>
      <c r="M42" s="69"/>
      <c r="N42" s="69"/>
      <c r="O42" s="71"/>
      <c r="P42" s="43"/>
    </row>
    <row r="43" spans="2:16">
      <c r="B43" s="42"/>
      <c r="C43" s="68" t="s">
        <v>182</v>
      </c>
      <c r="D43" s="69"/>
      <c r="E43" s="69"/>
      <c r="F43" s="69"/>
      <c r="G43" s="69"/>
      <c r="H43" s="81">
        <f>I43*12</f>
        <v>0</v>
      </c>
      <c r="I43" s="81">
        <v>0</v>
      </c>
      <c r="J43" s="69"/>
      <c r="K43" s="69"/>
      <c r="L43" s="69"/>
      <c r="M43" s="69"/>
      <c r="N43" s="69"/>
      <c r="O43" s="71"/>
      <c r="P43" s="43"/>
    </row>
    <row r="44" spans="2:16" ht="16" thickBot="1">
      <c r="B44" s="42"/>
      <c r="C44" s="51" t="s">
        <v>10</v>
      </c>
      <c r="D44" s="52"/>
      <c r="E44" s="52"/>
      <c r="F44" s="52"/>
      <c r="G44" s="52"/>
      <c r="H44" s="82">
        <f t="shared" si="1"/>
        <v>1200</v>
      </c>
      <c r="I44" s="82">
        <v>100</v>
      </c>
      <c r="J44" s="52"/>
      <c r="K44" s="52"/>
      <c r="L44" s="52"/>
      <c r="M44" s="52"/>
      <c r="N44" s="52"/>
      <c r="O44" s="53"/>
      <c r="P44" s="43"/>
    </row>
    <row r="45" spans="2:16" ht="16" thickTop="1">
      <c r="B45" s="42"/>
      <c r="C45" s="72" t="s">
        <v>7</v>
      </c>
      <c r="D45" s="73"/>
      <c r="E45" s="73"/>
      <c r="F45" s="73"/>
      <c r="G45" s="73"/>
      <c r="H45" s="83">
        <f t="shared" si="1"/>
        <v>24192</v>
      </c>
      <c r="I45" s="83">
        <f>SUM(I29:I44)</f>
        <v>2016</v>
      </c>
      <c r="J45" s="73"/>
      <c r="K45" s="73"/>
      <c r="L45" s="73"/>
      <c r="M45" s="73"/>
      <c r="N45" s="73"/>
      <c r="O45" s="75"/>
      <c r="P45" s="43"/>
    </row>
    <row r="46" spans="2:16" ht="9" customHeight="1">
      <c r="B46" s="42"/>
      <c r="C46" s="52"/>
      <c r="D46" s="52"/>
      <c r="E46" s="52"/>
      <c r="F46" s="52"/>
      <c r="G46" s="52"/>
      <c r="H46" s="52"/>
      <c r="I46" s="52"/>
      <c r="J46" s="52"/>
      <c r="K46" s="52"/>
      <c r="L46" s="52"/>
      <c r="M46" s="52"/>
      <c r="N46" s="52"/>
      <c r="O46" s="52"/>
      <c r="P46" s="43"/>
    </row>
    <row r="47" spans="2:16">
      <c r="B47" s="42"/>
      <c r="C47" s="60" t="s">
        <v>183</v>
      </c>
      <c r="D47" s="61"/>
      <c r="E47" s="61"/>
      <c r="F47" s="61"/>
      <c r="G47" s="61"/>
      <c r="H47" s="62" t="s">
        <v>150</v>
      </c>
      <c r="I47" s="62" t="s">
        <v>151</v>
      </c>
      <c r="J47" s="61"/>
      <c r="K47" s="61" t="s">
        <v>152</v>
      </c>
      <c r="L47" s="61"/>
      <c r="M47" s="61"/>
      <c r="N47" s="61"/>
      <c r="O47" s="63"/>
      <c r="P47" s="43"/>
    </row>
    <row r="48" spans="2:16">
      <c r="B48" s="42"/>
      <c r="C48" s="64" t="s">
        <v>61</v>
      </c>
      <c r="D48" s="65"/>
      <c r="E48" s="65"/>
      <c r="F48" s="65"/>
      <c r="G48" s="65"/>
      <c r="H48" s="80">
        <f>12*I48</f>
        <v>33000</v>
      </c>
      <c r="I48" s="80">
        <f>I26</f>
        <v>2750</v>
      </c>
      <c r="J48" s="65"/>
      <c r="K48" s="65"/>
      <c r="L48" s="65"/>
      <c r="M48" s="65"/>
      <c r="N48" s="65"/>
      <c r="O48" s="67"/>
      <c r="P48" s="43"/>
    </row>
    <row r="49" spans="2:16" ht="16" thickBot="1">
      <c r="B49" s="42"/>
      <c r="C49" s="84" t="s">
        <v>62</v>
      </c>
      <c r="D49" s="85"/>
      <c r="E49" s="85"/>
      <c r="F49" s="85"/>
      <c r="G49" s="85"/>
      <c r="H49" s="86">
        <f>12*I49</f>
        <v>24192</v>
      </c>
      <c r="I49" s="86">
        <f>I45</f>
        <v>2016</v>
      </c>
      <c r="J49" s="85"/>
      <c r="K49" s="85"/>
      <c r="L49" s="85"/>
      <c r="M49" s="85"/>
      <c r="N49" s="85"/>
      <c r="O49" s="87"/>
      <c r="P49" s="43"/>
    </row>
    <row r="50" spans="2:16" ht="16" thickTop="1">
      <c r="B50" s="42"/>
      <c r="C50" s="72" t="s">
        <v>184</v>
      </c>
      <c r="D50" s="73"/>
      <c r="E50" s="73"/>
      <c r="F50" s="73"/>
      <c r="G50" s="73"/>
      <c r="H50" s="83">
        <f>12*I50</f>
        <v>8808</v>
      </c>
      <c r="I50" s="83">
        <f>I48-I49</f>
        <v>734</v>
      </c>
      <c r="J50" s="73"/>
      <c r="K50" s="73" t="s">
        <v>185</v>
      </c>
      <c r="L50" s="73"/>
      <c r="M50" s="73"/>
      <c r="N50" s="73"/>
      <c r="O50" s="75"/>
      <c r="P50" s="43"/>
    </row>
    <row r="51" spans="2:16">
      <c r="B51" s="88"/>
      <c r="C51" s="89"/>
      <c r="D51" s="89"/>
      <c r="E51" s="89"/>
      <c r="F51" s="89"/>
      <c r="G51" s="89"/>
      <c r="H51" s="90"/>
      <c r="I51" s="90"/>
      <c r="J51" s="89"/>
      <c r="K51" s="89"/>
      <c r="L51" s="89"/>
      <c r="M51" s="89"/>
      <c r="N51" s="89"/>
      <c r="O51" s="89"/>
      <c r="P51" s="91"/>
    </row>
    <row r="53" spans="2:16" ht="18">
      <c r="B53" s="107" t="s">
        <v>269</v>
      </c>
      <c r="P53" s="92"/>
    </row>
  </sheetData>
  <sheetProtection algorithmName="SHA-512" hashValue="t1KmJ4VuxcaOVFI2ewaUimOAi0TRC412xR8dxJy0+hwFieyz/Bl9KIbaDVQ22PU7PLgJ+mQmLZP40w9fXbJ5Dw==" saltValue="Cbqjxwh9LapO3cjO1in9Mw==" spinCount="100000" sheet="1" objects="1" scenarios="1" formatCells="0" formatColumns="0" insertRows="0"/>
  <mergeCells count="3">
    <mergeCell ref="C7:O7"/>
    <mergeCell ref="B1:F3"/>
    <mergeCell ref="G1:L3"/>
  </mergeCells>
  <hyperlinks>
    <hyperlink ref="B1:F3" location="Bankgespräch!A1" display="zurück zum Bankgespräch" xr:uid="{00000000-0004-0000-1700-000000000000}"/>
    <hyperlink ref="B53" location="Deckblatt!A1" display="Keine Gewähr für die Richtigkeit der Angaben. Dieses Tool ersetzt keine fundierte Rechts-, Steuer- oder Finanzberatung. Mehr Details hier." xr:uid="{00000000-0004-0000-1700-000001000000}"/>
  </hyperlinks>
  <pageMargins left="0.23622047244094491" right="0.23622047244094491" top="0.74803149606299213" bottom="0.74803149606299213" header="0.31496062992125984" footer="0.31496062992125984"/>
  <pageSetup paperSize="9" scale="86"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3" tint="0.89999084444715716"/>
    <pageSetUpPr fitToPage="1"/>
  </sheetPr>
  <dimension ref="B1:T41"/>
  <sheetViews>
    <sheetView showGridLines="0" showRowColHeaders="0" zoomScaleNormal="100" workbookViewId="0">
      <pane ySplit="4" topLeftCell="A5" activePane="bottomLeft" state="frozen"/>
      <selection pane="bottomLeft" activeCell="A4" sqref="A4"/>
    </sheetView>
  </sheetViews>
  <sheetFormatPr baseColWidth="10" defaultColWidth="9.1640625" defaultRowHeight="15"/>
  <cols>
    <col min="1" max="1" width="9.1640625" style="24"/>
    <col min="2" max="2" width="2.5" style="24" customWidth="1"/>
    <col min="3" max="3" width="11" style="24" customWidth="1"/>
    <col min="4" max="6" width="9.1640625" style="24"/>
    <col min="7" max="7" width="5.33203125" style="24" customWidth="1"/>
    <col min="8" max="9" width="10.5" style="24" customWidth="1"/>
    <col min="10" max="10" width="5.5" style="24" customWidth="1"/>
    <col min="11" max="14" width="9.1640625" style="24"/>
    <col min="15" max="15" width="2.83203125" style="24" customWidth="1"/>
    <col min="16" max="16" width="2.5" style="24" customWidth="1"/>
    <col min="17" max="16384" width="9.1640625" style="24"/>
  </cols>
  <sheetData>
    <row r="1" spans="2:20" s="113" customFormat="1" ht="12.75" customHeight="1">
      <c r="B1" s="509" t="s">
        <v>263</v>
      </c>
      <c r="C1" s="509"/>
      <c r="D1" s="509"/>
      <c r="E1" s="509"/>
      <c r="F1" s="509"/>
      <c r="G1" s="442" t="s">
        <v>265</v>
      </c>
      <c r="H1" s="442"/>
      <c r="I1" s="442"/>
      <c r="J1" s="442"/>
      <c r="K1" s="442"/>
      <c r="L1" s="442"/>
      <c r="O1" s="177"/>
      <c r="S1" s="430"/>
      <c r="T1" s="431"/>
    </row>
    <row r="2" spans="2:20" s="113" customFormat="1" ht="15" customHeight="1">
      <c r="B2" s="509"/>
      <c r="C2" s="509"/>
      <c r="D2" s="509"/>
      <c r="E2" s="509"/>
      <c r="F2" s="509"/>
      <c r="G2" s="442"/>
      <c r="H2" s="442"/>
      <c r="I2" s="442"/>
      <c r="J2" s="442"/>
      <c r="K2" s="442"/>
      <c r="L2" s="442"/>
      <c r="O2" s="177"/>
      <c r="S2" s="430"/>
      <c r="T2" s="431"/>
    </row>
    <row r="3" spans="2:20" s="113" customFormat="1" ht="12.75" customHeight="1">
      <c r="B3" s="509"/>
      <c r="C3" s="509"/>
      <c r="D3" s="509"/>
      <c r="E3" s="509"/>
      <c r="F3" s="509"/>
      <c r="G3" s="442"/>
      <c r="H3" s="442"/>
      <c r="I3" s="442"/>
      <c r="J3" s="442"/>
      <c r="K3" s="442"/>
      <c r="L3" s="442"/>
      <c r="O3" s="177"/>
      <c r="S3" s="430"/>
      <c r="T3" s="431"/>
    </row>
    <row r="4" spans="2:20" s="5" customFormat="1" ht="18.75" customHeight="1">
      <c r="L4" s="4"/>
      <c r="M4" s="4"/>
      <c r="N4" s="4"/>
      <c r="O4" s="4"/>
    </row>
    <row r="6" spans="2:20" ht="7.5" customHeight="1">
      <c r="B6" s="93"/>
      <c r="C6" s="94"/>
      <c r="D6" s="94"/>
      <c r="E6" s="94"/>
      <c r="F6" s="94"/>
      <c r="G6" s="94"/>
      <c r="H6" s="94"/>
      <c r="I6" s="94"/>
      <c r="J6" s="94"/>
      <c r="K6" s="94"/>
      <c r="L6" s="94"/>
      <c r="M6" s="94"/>
      <c r="N6" s="94"/>
      <c r="O6" s="94"/>
      <c r="P6" s="95"/>
    </row>
    <row r="7" spans="2:20" ht="21">
      <c r="B7" s="96"/>
      <c r="C7" s="508" t="s">
        <v>186</v>
      </c>
      <c r="D7" s="508"/>
      <c r="E7" s="508"/>
      <c r="F7" s="508"/>
      <c r="G7" s="508"/>
      <c r="H7" s="508"/>
      <c r="I7" s="508"/>
      <c r="J7" s="508"/>
      <c r="K7" s="508"/>
      <c r="L7" s="508"/>
      <c r="M7" s="508"/>
      <c r="N7" s="508"/>
      <c r="O7" s="508"/>
      <c r="P7" s="97"/>
    </row>
    <row r="8" spans="2:20" ht="18">
      <c r="B8" s="96"/>
      <c r="C8" s="44" t="s">
        <v>135</v>
      </c>
      <c r="D8" s="98"/>
      <c r="E8" s="98"/>
      <c r="F8" s="98"/>
      <c r="G8" s="99"/>
      <c r="H8" s="98"/>
      <c r="I8" s="98"/>
      <c r="J8" s="98"/>
      <c r="K8" s="99"/>
      <c r="L8" s="99"/>
      <c r="M8" s="99"/>
      <c r="N8" s="99"/>
      <c r="O8" s="47" t="s">
        <v>136</v>
      </c>
      <c r="P8" s="97"/>
    </row>
    <row r="9" spans="2:20">
      <c r="B9" s="96"/>
      <c r="C9" s="99"/>
      <c r="D9" s="99"/>
      <c r="E9" s="99"/>
      <c r="F9" s="99"/>
      <c r="G9" s="99"/>
      <c r="H9" s="99"/>
      <c r="I9" s="99"/>
      <c r="J9" s="99"/>
      <c r="K9" s="99"/>
      <c r="L9" s="99"/>
      <c r="M9" s="99"/>
      <c r="N9" s="99"/>
      <c r="O9" s="99"/>
      <c r="P9" s="97"/>
    </row>
    <row r="10" spans="2:20">
      <c r="B10" s="96"/>
      <c r="C10" s="48" t="s">
        <v>137</v>
      </c>
      <c r="D10" s="49"/>
      <c r="E10" s="49"/>
      <c r="F10" s="49"/>
      <c r="G10" s="49"/>
      <c r="H10" s="49"/>
      <c r="I10" s="49"/>
      <c r="J10" s="49"/>
      <c r="K10" s="49"/>
      <c r="L10" s="49"/>
      <c r="M10" s="49"/>
      <c r="N10" s="49"/>
      <c r="O10" s="50"/>
      <c r="P10" s="97"/>
    </row>
    <row r="11" spans="2:20">
      <c r="B11" s="96"/>
      <c r="C11" s="51" t="s">
        <v>138</v>
      </c>
      <c r="D11" s="52" t="s">
        <v>135</v>
      </c>
      <c r="E11" s="52"/>
      <c r="F11" s="52"/>
      <c r="G11" s="52"/>
      <c r="H11" s="52"/>
      <c r="I11" s="52"/>
      <c r="J11" s="52"/>
      <c r="K11" s="52" t="s">
        <v>139</v>
      </c>
      <c r="L11" s="52"/>
      <c r="M11" s="52" t="s">
        <v>140</v>
      </c>
      <c r="N11" s="52"/>
      <c r="O11" s="53"/>
      <c r="P11" s="97"/>
    </row>
    <row r="12" spans="2:20">
      <c r="B12" s="96"/>
      <c r="C12" s="51" t="s">
        <v>141</v>
      </c>
      <c r="D12" s="52" t="s">
        <v>142</v>
      </c>
      <c r="E12" s="52"/>
      <c r="F12" s="52"/>
      <c r="G12" s="52"/>
      <c r="H12" s="52"/>
      <c r="I12" s="52"/>
      <c r="J12" s="52"/>
      <c r="K12" s="52" t="s">
        <v>143</v>
      </c>
      <c r="L12" s="52"/>
      <c r="M12" s="52" t="s">
        <v>144</v>
      </c>
      <c r="N12" s="52"/>
      <c r="O12" s="53"/>
      <c r="P12" s="97"/>
    </row>
    <row r="13" spans="2:20">
      <c r="B13" s="96"/>
      <c r="C13" s="54"/>
      <c r="D13" s="55" t="s">
        <v>145</v>
      </c>
      <c r="E13" s="55"/>
      <c r="F13" s="55"/>
      <c r="G13" s="55"/>
      <c r="H13" s="55"/>
      <c r="I13" s="55"/>
      <c r="J13" s="55"/>
      <c r="K13" s="55" t="s">
        <v>146</v>
      </c>
      <c r="L13" s="55"/>
      <c r="M13" s="55" t="s">
        <v>147</v>
      </c>
      <c r="N13" s="55"/>
      <c r="O13" s="56"/>
      <c r="P13" s="97"/>
    </row>
    <row r="14" spans="2:20">
      <c r="B14" s="96"/>
      <c r="C14" s="52"/>
      <c r="D14" s="52"/>
      <c r="E14" s="52"/>
      <c r="F14" s="52"/>
      <c r="G14" s="52"/>
      <c r="H14" s="52"/>
      <c r="I14" s="52"/>
      <c r="J14" s="52"/>
      <c r="K14" s="52"/>
      <c r="L14" s="52"/>
      <c r="M14" s="52"/>
      <c r="N14" s="52"/>
      <c r="O14" s="52"/>
      <c r="P14" s="97"/>
    </row>
    <row r="15" spans="2:20">
      <c r="B15" s="96"/>
      <c r="C15" s="57" t="s">
        <v>187</v>
      </c>
      <c r="D15" s="58"/>
      <c r="E15" s="58"/>
      <c r="F15" s="58"/>
      <c r="G15" s="58"/>
      <c r="H15" s="58"/>
      <c r="I15" s="58"/>
      <c r="J15" s="58"/>
      <c r="K15" s="58"/>
      <c r="L15" s="58"/>
      <c r="M15" s="58"/>
      <c r="N15" s="58"/>
      <c r="O15" s="59"/>
      <c r="P15" s="97"/>
    </row>
    <row r="16" spans="2:20" ht="9" customHeight="1">
      <c r="B16" s="96"/>
      <c r="C16" s="52"/>
      <c r="D16" s="52"/>
      <c r="E16" s="52"/>
      <c r="F16" s="52"/>
      <c r="G16" s="52"/>
      <c r="H16" s="52"/>
      <c r="I16" s="52"/>
      <c r="J16" s="52"/>
      <c r="K16" s="52"/>
      <c r="L16" s="52"/>
      <c r="M16" s="52"/>
      <c r="N16" s="52"/>
      <c r="O16" s="52"/>
      <c r="P16" s="97"/>
    </row>
    <row r="17" spans="2:16">
      <c r="B17" s="96"/>
      <c r="C17" s="60" t="s">
        <v>188</v>
      </c>
      <c r="D17" s="61"/>
      <c r="E17" s="61"/>
      <c r="F17" s="61"/>
      <c r="G17" s="61"/>
      <c r="H17" s="62" t="s">
        <v>189</v>
      </c>
      <c r="I17" s="100" t="s">
        <v>190</v>
      </c>
      <c r="J17" s="100"/>
      <c r="K17" s="61" t="s">
        <v>152</v>
      </c>
      <c r="L17" s="61"/>
      <c r="M17" s="61"/>
      <c r="N17" s="61"/>
      <c r="O17" s="63"/>
      <c r="P17" s="97"/>
    </row>
    <row r="18" spans="2:16">
      <c r="B18" s="96"/>
      <c r="C18" s="68" t="s">
        <v>191</v>
      </c>
      <c r="D18" s="69"/>
      <c r="E18" s="69"/>
      <c r="F18" s="65"/>
      <c r="G18" s="69"/>
      <c r="H18" s="81">
        <v>5100</v>
      </c>
      <c r="I18" s="101" t="s">
        <v>192</v>
      </c>
      <c r="J18" s="101"/>
      <c r="K18" s="69"/>
      <c r="L18" s="69"/>
      <c r="M18" s="69"/>
      <c r="N18" s="69"/>
      <c r="O18" s="71"/>
      <c r="P18" s="97"/>
    </row>
    <row r="19" spans="2:16">
      <c r="B19" s="96"/>
      <c r="C19" s="68" t="s">
        <v>193</v>
      </c>
      <c r="D19" s="69"/>
      <c r="E19" s="69"/>
      <c r="F19" s="65"/>
      <c r="G19" s="69"/>
      <c r="H19" s="81">
        <v>4200</v>
      </c>
      <c r="I19" s="101" t="s">
        <v>192</v>
      </c>
      <c r="J19" s="101"/>
      <c r="K19" s="69" t="s">
        <v>194</v>
      </c>
      <c r="L19" s="69"/>
      <c r="M19" s="69"/>
      <c r="N19" s="69"/>
      <c r="O19" s="71"/>
      <c r="P19" s="97"/>
    </row>
    <row r="20" spans="2:16">
      <c r="B20" s="96"/>
      <c r="C20" s="68" t="s">
        <v>195</v>
      </c>
      <c r="D20" s="69"/>
      <c r="E20" s="69"/>
      <c r="F20" s="65"/>
      <c r="G20" s="69"/>
      <c r="H20" s="81">
        <v>22000</v>
      </c>
      <c r="I20" s="101" t="s">
        <v>192</v>
      </c>
      <c r="J20" s="101"/>
      <c r="K20" s="69" t="s">
        <v>196</v>
      </c>
      <c r="L20" s="69"/>
      <c r="M20" s="69"/>
      <c r="N20" s="69"/>
      <c r="O20" s="71"/>
      <c r="P20" s="97"/>
    </row>
    <row r="21" spans="2:16">
      <c r="B21" s="96"/>
      <c r="C21" s="68" t="s">
        <v>197</v>
      </c>
      <c r="D21" s="69"/>
      <c r="E21" s="69"/>
      <c r="F21" s="65"/>
      <c r="G21" s="69"/>
      <c r="H21" s="81">
        <v>4500</v>
      </c>
      <c r="I21" s="101" t="s">
        <v>192</v>
      </c>
      <c r="J21" s="101"/>
      <c r="K21" s="69"/>
      <c r="L21" s="69"/>
      <c r="M21" s="69"/>
      <c r="N21" s="69"/>
      <c r="O21" s="71"/>
      <c r="P21" s="97"/>
    </row>
    <row r="22" spans="2:16">
      <c r="B22" s="96"/>
      <c r="C22" s="68" t="s">
        <v>198</v>
      </c>
      <c r="D22" s="69"/>
      <c r="E22" s="69"/>
      <c r="F22" s="65"/>
      <c r="G22" s="69"/>
      <c r="H22" s="81">
        <v>179000</v>
      </c>
      <c r="I22" s="101" t="s">
        <v>192</v>
      </c>
      <c r="J22" s="101"/>
      <c r="K22" s="69" t="s">
        <v>199</v>
      </c>
      <c r="L22" s="69"/>
      <c r="M22" s="69"/>
      <c r="N22" s="69"/>
      <c r="O22" s="71"/>
      <c r="P22" s="97"/>
    </row>
    <row r="23" spans="2:16">
      <c r="B23" s="96"/>
      <c r="C23" s="68" t="s">
        <v>200</v>
      </c>
      <c r="D23" s="69"/>
      <c r="E23" s="69"/>
      <c r="F23" s="65"/>
      <c r="G23" s="69"/>
      <c r="H23" s="81">
        <v>24000</v>
      </c>
      <c r="I23" s="101" t="s">
        <v>192</v>
      </c>
      <c r="J23" s="101"/>
      <c r="K23" s="69" t="s">
        <v>201</v>
      </c>
      <c r="L23" s="69"/>
      <c r="M23" s="69"/>
      <c r="N23" s="69"/>
      <c r="O23" s="71"/>
      <c r="P23" s="97"/>
    </row>
    <row r="24" spans="2:16" ht="16" thickBot="1">
      <c r="B24" s="96"/>
      <c r="C24" s="68" t="s">
        <v>202</v>
      </c>
      <c r="D24" s="69"/>
      <c r="E24" s="69"/>
      <c r="F24" s="65"/>
      <c r="G24" s="69"/>
      <c r="H24" s="81">
        <v>22000</v>
      </c>
      <c r="I24" s="101" t="s">
        <v>192</v>
      </c>
      <c r="J24" s="101"/>
      <c r="K24" s="65" t="s">
        <v>203</v>
      </c>
      <c r="L24" s="69"/>
      <c r="M24" s="69"/>
      <c r="N24" s="69"/>
      <c r="O24" s="71"/>
      <c r="P24" s="97"/>
    </row>
    <row r="25" spans="2:16" ht="16" thickTop="1">
      <c r="B25" s="96"/>
      <c r="C25" s="72" t="s">
        <v>7</v>
      </c>
      <c r="D25" s="73"/>
      <c r="E25" s="73"/>
      <c r="F25" s="73"/>
      <c r="G25" s="73"/>
      <c r="H25" s="83">
        <f>SUM(H18:H24)</f>
        <v>260800</v>
      </c>
      <c r="I25" s="83"/>
      <c r="J25" s="73"/>
      <c r="K25" s="73"/>
      <c r="L25" s="73"/>
      <c r="M25" s="73"/>
      <c r="N25" s="73"/>
      <c r="O25" s="75"/>
      <c r="P25" s="97"/>
    </row>
    <row r="26" spans="2:16">
      <c r="B26" s="96"/>
      <c r="C26" s="52"/>
      <c r="D26" s="52"/>
      <c r="E26" s="52"/>
      <c r="F26" s="52"/>
      <c r="G26" s="52"/>
      <c r="H26" s="52"/>
      <c r="I26" s="52"/>
      <c r="J26" s="52"/>
      <c r="K26" s="52"/>
      <c r="L26" s="52"/>
      <c r="M26" s="52"/>
      <c r="N26" s="52"/>
      <c r="O26" s="52"/>
      <c r="P26" s="97"/>
    </row>
    <row r="27" spans="2:16">
      <c r="B27" s="96"/>
      <c r="C27" s="76" t="s">
        <v>204</v>
      </c>
      <c r="D27" s="77"/>
      <c r="E27" s="77"/>
      <c r="F27" s="77"/>
      <c r="G27" s="77"/>
      <c r="H27" s="78" t="s">
        <v>205</v>
      </c>
      <c r="I27" s="78"/>
      <c r="J27" s="77"/>
      <c r="K27" s="77" t="s">
        <v>152</v>
      </c>
      <c r="L27" s="77"/>
      <c r="M27" s="77"/>
      <c r="N27" s="77"/>
      <c r="O27" s="79"/>
      <c r="P27" s="97"/>
    </row>
    <row r="28" spans="2:16">
      <c r="B28" s="96"/>
      <c r="C28" s="68" t="s">
        <v>206</v>
      </c>
      <c r="D28" s="69"/>
      <c r="E28" s="69"/>
      <c r="F28" s="69"/>
      <c r="G28" s="69"/>
      <c r="H28" s="81">
        <v>0</v>
      </c>
      <c r="I28" s="81"/>
      <c r="J28" s="69"/>
      <c r="K28" s="69" t="s">
        <v>207</v>
      </c>
      <c r="L28" s="69"/>
      <c r="M28" s="69"/>
      <c r="N28" s="69"/>
      <c r="O28" s="71"/>
      <c r="P28" s="97"/>
    </row>
    <row r="29" spans="2:16">
      <c r="B29" s="96"/>
      <c r="C29" s="68" t="s">
        <v>208</v>
      </c>
      <c r="D29" s="69"/>
      <c r="E29" s="69"/>
      <c r="F29" s="69"/>
      <c r="G29" s="69"/>
      <c r="H29" s="81">
        <v>16000</v>
      </c>
      <c r="I29" s="81"/>
      <c r="J29" s="69"/>
      <c r="K29" s="69" t="s">
        <v>209</v>
      </c>
      <c r="L29" s="69"/>
      <c r="M29" s="69"/>
      <c r="N29" s="69"/>
      <c r="O29" s="71"/>
      <c r="P29" s="97"/>
    </row>
    <row r="30" spans="2:16">
      <c r="B30" s="96"/>
      <c r="C30" s="68" t="s">
        <v>210</v>
      </c>
      <c r="D30" s="69"/>
      <c r="E30" s="69"/>
      <c r="F30" s="69"/>
      <c r="G30" s="69"/>
      <c r="H30" s="81">
        <v>122000</v>
      </c>
      <c r="I30" s="81"/>
      <c r="J30" s="69"/>
      <c r="K30" s="69" t="s">
        <v>199</v>
      </c>
      <c r="L30" s="69"/>
      <c r="M30" s="69"/>
      <c r="N30" s="69"/>
      <c r="O30" s="71"/>
      <c r="P30" s="97"/>
    </row>
    <row r="31" spans="2:16">
      <c r="B31" s="96"/>
      <c r="C31" s="68" t="s">
        <v>211</v>
      </c>
      <c r="D31" s="69"/>
      <c r="E31" s="69"/>
      <c r="F31" s="69"/>
      <c r="G31" s="69"/>
      <c r="H31" s="81">
        <v>0</v>
      </c>
      <c r="I31" s="81"/>
      <c r="J31" s="69"/>
      <c r="K31" s="69" t="s">
        <v>207</v>
      </c>
      <c r="L31" s="69"/>
      <c r="M31" s="69"/>
      <c r="N31" s="69"/>
      <c r="O31" s="71"/>
      <c r="P31" s="97"/>
    </row>
    <row r="32" spans="2:16" ht="16" thickBot="1">
      <c r="B32" s="96"/>
      <c r="C32" s="68" t="s">
        <v>212</v>
      </c>
      <c r="D32" s="69"/>
      <c r="E32" s="69"/>
      <c r="F32" s="69"/>
      <c r="G32" s="69"/>
      <c r="H32" s="81">
        <v>0</v>
      </c>
      <c r="I32" s="81"/>
      <c r="J32" s="69"/>
      <c r="K32" s="69" t="s">
        <v>207</v>
      </c>
      <c r="L32" s="69"/>
      <c r="M32" s="69"/>
      <c r="N32" s="69"/>
      <c r="O32" s="71"/>
      <c r="P32" s="97"/>
    </row>
    <row r="33" spans="2:16" ht="16" thickTop="1">
      <c r="B33" s="96"/>
      <c r="C33" s="72" t="s">
        <v>7</v>
      </c>
      <c r="D33" s="73"/>
      <c r="E33" s="73"/>
      <c r="F33" s="73"/>
      <c r="G33" s="73"/>
      <c r="H33" s="83">
        <f>SUM(H28:H32)</f>
        <v>138000</v>
      </c>
      <c r="I33" s="83"/>
      <c r="J33" s="73"/>
      <c r="K33" s="73"/>
      <c r="L33" s="73"/>
      <c r="M33" s="73"/>
      <c r="N33" s="73"/>
      <c r="O33" s="75"/>
      <c r="P33" s="97"/>
    </row>
    <row r="34" spans="2:16">
      <c r="B34" s="96"/>
      <c r="C34" s="52"/>
      <c r="D34" s="52"/>
      <c r="E34" s="52"/>
      <c r="F34" s="52"/>
      <c r="G34" s="52"/>
      <c r="H34" s="52"/>
      <c r="I34" s="52"/>
      <c r="J34" s="52"/>
      <c r="K34" s="52"/>
      <c r="L34" s="52"/>
      <c r="M34" s="52"/>
      <c r="N34" s="52"/>
      <c r="O34" s="52"/>
      <c r="P34" s="97"/>
    </row>
    <row r="35" spans="2:16">
      <c r="B35" s="96"/>
      <c r="C35" s="60" t="s">
        <v>186</v>
      </c>
      <c r="D35" s="61"/>
      <c r="E35" s="61"/>
      <c r="F35" s="61"/>
      <c r="G35" s="61"/>
      <c r="H35" s="62" t="s">
        <v>189</v>
      </c>
      <c r="I35" s="62"/>
      <c r="J35" s="61"/>
      <c r="K35" s="61" t="s">
        <v>152</v>
      </c>
      <c r="L35" s="61"/>
      <c r="M35" s="61"/>
      <c r="N35" s="61"/>
      <c r="O35" s="63"/>
      <c r="P35" s="97"/>
    </row>
    <row r="36" spans="2:16">
      <c r="B36" s="96"/>
      <c r="C36" s="68" t="s">
        <v>188</v>
      </c>
      <c r="D36" s="69"/>
      <c r="E36" s="69"/>
      <c r="F36" s="69"/>
      <c r="G36" s="69"/>
      <c r="H36" s="81">
        <f>H25</f>
        <v>260800</v>
      </c>
      <c r="I36" s="81"/>
      <c r="J36" s="69"/>
      <c r="K36" s="69"/>
      <c r="L36" s="69"/>
      <c r="M36" s="69"/>
      <c r="N36" s="69"/>
      <c r="O36" s="71"/>
      <c r="P36" s="97"/>
    </row>
    <row r="37" spans="2:16" ht="16" thickBot="1">
      <c r="B37" s="96"/>
      <c r="C37" s="68" t="s">
        <v>204</v>
      </c>
      <c r="D37" s="69"/>
      <c r="E37" s="69"/>
      <c r="F37" s="69"/>
      <c r="G37" s="69"/>
      <c r="H37" s="81">
        <f>-H33</f>
        <v>-138000</v>
      </c>
      <c r="I37" s="81"/>
      <c r="J37" s="69"/>
      <c r="K37" s="69"/>
      <c r="L37" s="69"/>
      <c r="M37" s="69"/>
      <c r="N37" s="69"/>
      <c r="O37" s="71"/>
      <c r="P37" s="97"/>
    </row>
    <row r="38" spans="2:16" ht="16" thickTop="1">
      <c r="B38" s="96"/>
      <c r="C38" s="72" t="s">
        <v>184</v>
      </c>
      <c r="D38" s="73"/>
      <c r="E38" s="73"/>
      <c r="F38" s="73"/>
      <c r="G38" s="73"/>
      <c r="H38" s="83">
        <f>SUM(H36:H37)</f>
        <v>122800</v>
      </c>
      <c r="I38" s="83"/>
      <c r="J38" s="73"/>
      <c r="K38" s="102" t="s">
        <v>52</v>
      </c>
      <c r="L38" s="73"/>
      <c r="M38" s="73"/>
      <c r="N38" s="73"/>
      <c r="O38" s="75"/>
      <c r="P38" s="97"/>
    </row>
    <row r="39" spans="2:16">
      <c r="B39" s="103"/>
      <c r="C39" s="104"/>
      <c r="D39" s="104"/>
      <c r="E39" s="104"/>
      <c r="F39" s="104"/>
      <c r="G39" s="104"/>
      <c r="H39" s="105"/>
      <c r="I39" s="105"/>
      <c r="J39" s="104"/>
      <c r="K39" s="104"/>
      <c r="L39" s="104"/>
      <c r="M39" s="104"/>
      <c r="N39" s="104"/>
      <c r="O39" s="104"/>
      <c r="P39" s="106"/>
    </row>
    <row r="41" spans="2:16" ht="18">
      <c r="B41" s="107" t="s">
        <v>269</v>
      </c>
      <c r="P41" s="92"/>
    </row>
  </sheetData>
  <sheetProtection algorithmName="SHA-512" hashValue="2HC4FQ9jbu3xmxrmsJo5JWQy0Uns7jvDMu3Lx5QuMC0vHHxSsxYX+Si9of2oWHZlJBbAfjNn+CDEt7MJrq02tQ==" saltValue="gqSp0unqXB2Mze49cJqjaw==" spinCount="100000" sheet="1" objects="1" scenarios="1" formatCells="0" formatColumns="0" insertRows="0"/>
  <mergeCells count="5">
    <mergeCell ref="S1:S3"/>
    <mergeCell ref="T1:T3"/>
    <mergeCell ref="C7:O7"/>
    <mergeCell ref="B1:F3"/>
    <mergeCell ref="G1:L3"/>
  </mergeCells>
  <hyperlinks>
    <hyperlink ref="B1:F3" location="Bankgespräch!A1" display="zurück zum Bankgespräch" xr:uid="{00000000-0004-0000-1800-000000000000}"/>
    <hyperlink ref="B41" location="Deckblatt!A1" display="Keine Gewähr für die Richtigkeit der Angaben. Dieses Tool ersetzt keine fundierte Rechts-, Steuer- oder Finanzberatung. Mehr Details hier." xr:uid="{00000000-0004-0000-1800-000001000000}"/>
  </hyperlinks>
  <pageMargins left="0.23622047244094491" right="0.23622047244094491" top="0.74803149606299213" bottom="0.74803149606299213" header="0.31496062992125984" footer="0.31496062992125984"/>
  <pageSetup paperSize="9" scale="86"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B2:F24"/>
  <sheetViews>
    <sheetView showGridLines="0" workbookViewId="0">
      <selection activeCell="Q31" sqref="Q31"/>
    </sheetView>
  </sheetViews>
  <sheetFormatPr baseColWidth="10" defaultColWidth="9.1640625" defaultRowHeight="15"/>
  <cols>
    <col min="2" max="2" width="30.5" customWidth="1"/>
    <col min="3" max="3" width="17" customWidth="1"/>
    <col min="4" max="4" width="10.5" bestFit="1" customWidth="1"/>
    <col min="5" max="5" width="30.5" customWidth="1"/>
    <col min="6" max="6" width="10.33203125" customWidth="1"/>
    <col min="8" max="8" width="11.6640625" bestFit="1" customWidth="1"/>
    <col min="9" max="25" width="9" customWidth="1"/>
  </cols>
  <sheetData>
    <row r="2" spans="2:6" ht="16">
      <c r="B2" s="311" t="s">
        <v>395</v>
      </c>
    </row>
    <row r="3" spans="2:6" ht="33" customHeight="1" thickBot="1"/>
    <row r="4" spans="2:6" ht="16" thickBot="1">
      <c r="B4" s="451" t="s">
        <v>279</v>
      </c>
      <c r="C4" s="452"/>
      <c r="E4" s="451" t="s">
        <v>280</v>
      </c>
      <c r="F4" s="452"/>
    </row>
    <row r="5" spans="2:6">
      <c r="B5" s="128" t="s">
        <v>102</v>
      </c>
      <c r="C5" s="362">
        <f ca="1">IFERROR(HLOOKUP(0,'Kennzahlen im Verlauf'!75:77,3,FALSE),"-")</f>
        <v>2024</v>
      </c>
      <c r="E5" s="114" t="s">
        <v>99</v>
      </c>
      <c r="F5" s="280">
        <f ca="1">calc_rf!C5+1</f>
        <v>2025</v>
      </c>
    </row>
    <row r="6" spans="2:6" ht="16" thickBot="1">
      <c r="B6" s="141" t="s">
        <v>101</v>
      </c>
      <c r="C6" s="373">
        <f ca="1">C5-'Kennzahlen im Verlauf'!D28</f>
        <v>0</v>
      </c>
      <c r="E6" s="116" t="s">
        <v>101</v>
      </c>
      <c r="F6" s="158">
        <f ca="1">F5-'Kennzahlen im Verlauf'!D28</f>
        <v>1</v>
      </c>
    </row>
    <row r="7" spans="2:6" ht="16" thickBot="1">
      <c r="B7" s="374" t="s">
        <v>399</v>
      </c>
      <c r="C7" s="373" t="str">
        <f ca="1">IFERROR(IF(C6=0,"sofort",IF(C6=1,"in einem Jahr",CONCATENATE("in ",C6," Jahren"))),"in &gt;99 Jahren")</f>
        <v>sofort</v>
      </c>
      <c r="E7" s="5"/>
      <c r="F7" s="5"/>
    </row>
    <row r="8" spans="2:6" ht="16" thickBot="1">
      <c r="B8" s="142" t="s">
        <v>28</v>
      </c>
      <c r="C8" s="363">
        <f>Cockpit!N10</f>
        <v>0</v>
      </c>
      <c r="E8" s="451" t="s">
        <v>93</v>
      </c>
      <c r="F8" s="452"/>
    </row>
    <row r="9" spans="2:6">
      <c r="B9" s="296" t="str">
        <f>CONCATENATE("Gleiche Rate in ",IF(C9=1,"1 Jahr:",CONCATENATE(C9," Jahren:")))</f>
        <v>Gleiche Rate in 1 Jahr:</v>
      </c>
      <c r="C9" s="297">
        <f>MAX('8'!E10,1)</f>
        <v>1</v>
      </c>
      <c r="E9" s="114" t="s">
        <v>13</v>
      </c>
      <c r="F9" s="153">
        <f ca="1">OFFSET('Kennzahlen im Verlauf'!D10,,F6)</f>
        <v>0</v>
      </c>
    </row>
    <row r="10" spans="2:6">
      <c r="B10" s="296" t="str">
        <f>CONCATENATE("Restschulden in ",C9," Jahren")</f>
        <v>Restschulden in 1 Jahren</v>
      </c>
      <c r="C10" s="363">
        <f ca="1">OFFSET('Kennzahlen im Verlauf'!D63,,C9)</f>
        <v>0</v>
      </c>
      <c r="E10" s="130" t="s">
        <v>31</v>
      </c>
      <c r="F10" s="150">
        <f ca="1">-(Cockpit!K12-Cockpit!K27)*(1+Cockpit!H25)^F6-Cockpit!H20*F9</f>
        <v>0</v>
      </c>
    </row>
    <row r="11" spans="2:6">
      <c r="B11" s="142" t="str">
        <f>CONCATENATE("Zins gleiche Rate ",C9," Jahre")</f>
        <v>Zins gleiche Rate 1 Jahre</v>
      </c>
      <c r="C11" s="364" t="str">
        <f ca="1">IFERROR((OFFSET('Kennzahlen im Verlauf'!D74,,C9)-'Kennzahlen im Verlauf'!D71)/C10,"-")</f>
        <v>-</v>
      </c>
      <c r="E11" s="130" t="s">
        <v>33</v>
      </c>
      <c r="F11" s="150">
        <f ca="1">-OFFSET('Kennzahlen im Verlauf'!D67,,F6)/12</f>
        <v>0</v>
      </c>
    </row>
    <row r="12" spans="2:6">
      <c r="B12" s="142" t="s">
        <v>314</v>
      </c>
      <c r="C12" s="365">
        <f ca="1">0.01*C10/12</f>
        <v>0</v>
      </c>
      <c r="E12" s="130" t="s">
        <v>34</v>
      </c>
      <c r="F12" s="150">
        <f ca="1">-OFFSET('Kennzahlen im Verlauf'!D71,,F6)/12</f>
        <v>0</v>
      </c>
    </row>
    <row r="13" spans="2:6">
      <c r="B13" s="142"/>
      <c r="C13" s="365"/>
      <c r="E13" s="130" t="s">
        <v>32</v>
      </c>
      <c r="F13" s="150">
        <f ca="1">SUM(F9:F12)</f>
        <v>0</v>
      </c>
    </row>
    <row r="14" spans="2:6">
      <c r="B14" s="300" t="s">
        <v>320</v>
      </c>
      <c r="C14" s="366">
        <f>IF('10'!H8="Besonders wenig",0.5,IF('10'!H8="Besonders viel",3,1.5))</f>
        <v>1.5</v>
      </c>
      <c r="E14" s="130" t="s">
        <v>40</v>
      </c>
      <c r="F14" s="150">
        <f ca="1">-F24</f>
        <v>0</v>
      </c>
    </row>
    <row r="15" spans="2:6" ht="16" thickBot="1">
      <c r="B15" s="142" t="s">
        <v>336</v>
      </c>
      <c r="C15" s="367">
        <f>Cockpit!C11*C14</f>
        <v>0</v>
      </c>
      <c r="E15" s="133" t="s">
        <v>42</v>
      </c>
      <c r="F15" s="144">
        <f ca="1">F13+F14</f>
        <v>0</v>
      </c>
    </row>
    <row r="16" spans="2:6" ht="16" thickBot="1">
      <c r="B16" s="142" t="s">
        <v>332</v>
      </c>
      <c r="C16" s="365" t="e">
        <f>VLOOKUP(Cockpit!D15,cnfg_rf!B18:C25,2,TRUE)</f>
        <v>#N/A</v>
      </c>
      <c r="E16" s="5"/>
      <c r="F16" s="5"/>
    </row>
    <row r="17" spans="2:6" ht="16" thickBot="1">
      <c r="B17" s="296" t="s">
        <v>333</v>
      </c>
      <c r="C17" s="368" t="e">
        <f>C16*C15</f>
        <v>#N/A</v>
      </c>
      <c r="E17" s="451" t="s">
        <v>39</v>
      </c>
      <c r="F17" s="452"/>
    </row>
    <row r="18" spans="2:6">
      <c r="B18" s="296" t="s">
        <v>334</v>
      </c>
      <c r="C18" s="368">
        <f>IFERROR(VLOOKUP('11'!E8,cnfg_rf!B6:C14,2,FALSE),0)</f>
        <v>0</v>
      </c>
      <c r="E18" s="114" t="s">
        <v>13</v>
      </c>
      <c r="F18" s="153">
        <f ca="1">F9</f>
        <v>0</v>
      </c>
    </row>
    <row r="19" spans="2:6">
      <c r="B19" s="296" t="s">
        <v>352</v>
      </c>
      <c r="C19" s="368">
        <f>IF('11'!E10="Ja",8*calc_rf!C18,0)</f>
        <v>0</v>
      </c>
      <c r="E19" s="130" t="s">
        <v>244</v>
      </c>
      <c r="F19" s="150">
        <f ca="1">-(Cockpit!K12-Cockpit!K26-Cockpit!K27)*(1+Cockpit!H25)^F6</f>
        <v>0</v>
      </c>
    </row>
    <row r="20" spans="2:6">
      <c r="B20" s="296" t="s">
        <v>335</v>
      </c>
      <c r="C20" s="368">
        <f>C18*Cockpit!C11+C19</f>
        <v>0</v>
      </c>
      <c r="E20" s="130" t="s">
        <v>33</v>
      </c>
      <c r="F20" s="150">
        <f ca="1">F11</f>
        <v>0</v>
      </c>
    </row>
    <row r="21" spans="2:6" ht="16" thickBot="1">
      <c r="B21" s="143" t="s">
        <v>319</v>
      </c>
      <c r="C21" s="369">
        <f>IFERROR(C20/(C17+C20),0)</f>
        <v>0</v>
      </c>
      <c r="E21" s="130" t="s">
        <v>229</v>
      </c>
      <c r="F21" s="150">
        <f ca="1">-OFFSET('Kennzahlen im Verlauf'!D24,,F6)</f>
        <v>0</v>
      </c>
    </row>
    <row r="22" spans="2:6">
      <c r="B22" s="5"/>
      <c r="C22" s="5"/>
      <c r="E22" s="130" t="s">
        <v>38</v>
      </c>
      <c r="F22" s="150">
        <f ca="1">SUM(F18:F21)</f>
        <v>0</v>
      </c>
    </row>
    <row r="23" spans="2:6">
      <c r="E23" s="115" t="s">
        <v>230</v>
      </c>
      <c r="F23" s="137">
        <v>0.25</v>
      </c>
    </row>
    <row r="24" spans="2:6" ht="16" thickBot="1">
      <c r="E24" s="133" t="s">
        <v>41</v>
      </c>
      <c r="F24" s="144">
        <f ca="1">F23*F22</f>
        <v>0</v>
      </c>
    </row>
  </sheetData>
  <sheetProtection algorithmName="SHA-512" hashValue="0UZcPIUED2pzXnrkIVMTtett74apjYNhOaiGCHLQx5f7rcNQr/wTWf/V0pB/M4j2LIu47qyTwvIftp9fSaKmzg==" saltValue="17AkX4dqRVH9EXwh2lrUVw==" spinCount="100000" sheet="1" objects="1" scenarios="1"/>
  <mergeCells count="4">
    <mergeCell ref="E17:F17"/>
    <mergeCell ref="B4:C4"/>
    <mergeCell ref="E4:F4"/>
    <mergeCell ref="E8:F8"/>
  </mergeCells>
  <dataValidations count="18">
    <dataValidation allowBlank="1" showInputMessage="1" showErrorMessage="1" promptTitle="entspricht Jahre nach dem Kauf" prompt="Das ausgewählte Jahr entspricht dieser Anzahl von Jahren ab dem Kaufdatum." sqref="F6" xr:uid="{00000000-0002-0000-1A00-000000000000}"/>
    <dataValidation allowBlank="1" showInputMessage="1" showErrorMessage="1" promptTitle="Betrachtungszeitpunkt" prompt="Alle Kennzahlen in dieser Spalte beziehen sich auf auf einen Zeitpunkt in der Zukunft. In diesem Bereich legst du fest, für welches Jahr (in der Zukunft) du die Werte berechnen und anzeigen lassen möchtest." sqref="E4:F4 B4:C4" xr:uid="{00000000-0002-0000-1A00-000001000000}"/>
    <dataValidation allowBlank="1" showInputMessage="1" showErrorMessage="1" promptTitle="Cashflow nach Steuern" prompt="Dies ist der monatliche Cashflow bzw. Überschuss nach Steuern._x000a__x000a_Die Farbskala kann über das Zahnrad (oben) angepasst werden._x000a__x000a_Bitte beachte, dass wir für dieses Ergebnis natürlich keinerlei Gewähr oder Haftung übernehmen können." sqref="F15" xr:uid="{00000000-0002-0000-1A00-000002000000}"/>
    <dataValidation allowBlank="1" showInputMessage="1" showErrorMessage="1" promptTitle="Steuern" prompt="Die fälligen Steuern errechnen sich aus der Multiplikation des zu versteuernden Cashflows mit dem persönlichen Grenzsteuersatz._x000a__x000a_Es handelt sich hierbei um eine Nährung für die wir keine Gewähr übernehmen." sqref="F24" xr:uid="{00000000-0002-0000-1A00-000003000000}"/>
    <dataValidation type="decimal" allowBlank="1" showInputMessage="1" showErrorMessage="1" errorTitle="Persönlicher Grenzsteuersatz" error="Bitte den Grenzsteuersatz in % eingeben, bspw. 42%. Der Steuersatz muss zwischen 0% und 100% liegen." promptTitle="Persönlicher Grenzsteuersatz" prompt="Mit diesem Steuersatz wird die Steuer berechnet. Zusätzliches Einkommen wird (vereinfacht) mit dem persönlichen Grenzsteuersatz versteuert. Dieser hängt vom Einkommen ab und beträgt max. ca 48%. Bitte inkl. Solidaritätszuschlag und Kirchensteuer eingeben." sqref="F23" xr:uid="{00000000-0002-0000-1A00-000004000000}">
      <formula1>0</formula1>
      <formula2>1</formula2>
    </dataValidation>
    <dataValidation allowBlank="1" showInputMessage="1" showErrorMessage="1" promptTitle="Zu versteuernder Cashflow" prompt="Nach Abzug der steuermindern wirksamen Kosten bleibt steuerlich dieser Betrag als &quot;Gewinn&quot; übrig. Dieser ist im Rahmen der Einkommensteuererklärung zu versteuern. Die Tilgung kann steuerlich nicht abgezogen werden, da sie Vermögenszuwachs darstellt." sqref="F22" xr:uid="{00000000-0002-0000-1A00-000005000000}"/>
    <dataValidation allowBlank="1" showInputMessage="1" showErrorMessage="1" promptTitle="Abschreibung (AfA)" prompt="Der Gebäudeanteil der Anschaffungskosten (Kaufpreis + Kaufnebenkosten) sowie steuerlich aktivierte Investitionen werden langfristig abgeschrieben. Obwohl kein Geld fließt, darf jedes Jahr ein Teil davon steuerlich als Aufwand berücksichtigt werden." sqref="F21" xr:uid="{00000000-0002-0000-1A00-000006000000}"/>
    <dataValidation allowBlank="1" showInputMessage="1" showErrorMessage="1" promptTitle="Zinsen" prompt="Zinsen mindern bei vermieteten Immobilien die Besteuerungsbasis." sqref="F20" xr:uid="{00000000-0002-0000-1A00-000007000000}"/>
    <dataValidation allowBlank="1" showInputMessage="1" showErrorMessage="1" promptTitle="Bewirt.-Kosten ohne eigene Rückl" prompt="Bewirtschaftungskosten mindern die Besteuerungsbasis. _x000a__x000a_Ausnahme: Eigene Rücklagen, da dieses Geld ja &quot;verdient&quot; ist und nur auf einem anderen Konto liegt. Steuermindernd erst bei Ausgabe._x000a__x000a_Annahme für WEG Rücklage: Steuermindernd, da jährlich verwendet." sqref="F19" xr:uid="{00000000-0002-0000-1A00-000008000000}"/>
    <dataValidation allowBlank="1" showInputMessage="1" showErrorMessage="1" promptTitle="Warmmiete" prompt="Die Berechnung der Steuer beginnt mit der Warmmiete." sqref="F18" xr:uid="{00000000-0002-0000-1A00-000009000000}"/>
    <dataValidation allowBlank="1" showInputMessage="1" showErrorMessage="1" promptTitle="Nebenrechnung Steuer" prompt="Hier wird durch eine Nebenrechnung die rechnerische monatliche Steuerbelastung ermittelt, um daraus den Cashflow nach Steuern ableiten zu können." sqref="E17:F17" xr:uid="{00000000-0002-0000-1A00-00000A000000}"/>
    <dataValidation allowBlank="1" showInputMessage="1" showErrorMessage="1" promptTitle="Steuern" prompt="Dies sind die Steuern, die sich aus der &quot;Nebenrechnung Steuer&quot; weiter unten ergeben haben. Die Steuern fallen in der Regel zeitversetzt und jährlich an. Der Vergleichbarkeit halber siehst du sie hier allerdings als Monatswert." sqref="F14" xr:uid="{00000000-0002-0000-1A00-00000B000000}"/>
    <dataValidation allowBlank="1" showInputMessage="1" showErrorMessage="1" promptTitle="Cashflow operativ" prompt="Dies ist der Cashflow vor Steuern. Ein hoher operativer Cashflow kann dazu führen, dass sich auf dem Mietkonto viel Geld ansammelt. Hiervon müssen allerdings noch Steuern gezahlt werden. Die Farbskala kann über das Zahnrad (oben) angepasst werden." sqref="F13" xr:uid="{00000000-0002-0000-1A00-00000C000000}"/>
    <dataValidation allowBlank="1" showInputMessage="1" showErrorMessage="1" promptTitle="Tilgung" prompt="Die Tilgung bezahlst du aus deiner Miete. Tilgung stellt für dich zwar Vermögensaufbau dar, das Geld ist allerdings bei der Bank (im Darlehen) gebunden. Sie mindert somit deinen verfügbaren Cashflow." sqref="F12" xr:uid="{00000000-0002-0000-1A00-00000D000000}"/>
    <dataValidation allowBlank="1" showInputMessage="1" showErrorMessage="1" promptTitle="Zinsen" prompt="Die Zinsen bezahlst du aus deiner Miete. Sie mindern somit deinen Cashflow." sqref="F11" xr:uid="{00000000-0002-0000-1A00-00000E000000}"/>
    <dataValidation allowBlank="1" showInputMessage="1" showErrorMessage="1" promptTitle="Bewirtschaftungskosten" prompt="Die Bewirtschaftungskosten bezahlst du aus der Warmmiete und sie mindern somit deinen Cashflow." sqref="F10" xr:uid="{00000000-0002-0000-1A00-00000F000000}"/>
    <dataValidation allowBlank="1" showInputMessage="1" showErrorMessage="1" promptTitle="Warmmiete" prompt="Die Cashflow Berechnung beginnt mit der Warmmiete." sqref="F9" xr:uid="{00000000-0002-0000-1A00-000010000000}"/>
    <dataValidation allowBlank="1" showInputMessage="1" showErrorMessage="1" promptTitle="Cashflow pro Monat (Überschuss)" prompt="Hier findest du die Hochrechnung deines monatlichen Cashflows, also deines Überschusses der Mieteinnahmen über deine Kosten. Ein negativer Cashflow bedeutet, dass du jeden Monat Geld dazuschießen musst." sqref="E8:F8" xr:uid="{00000000-0002-0000-1A00-000011000000}"/>
  </dataValidations>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colorScale" priority="1" id="{AC2D81CB-5A2E-402F-8185-4131212B762C}">
            <x14:colorScale>
              <x14:cfvo type="num">
                <xm:f>Konfiguration!$E$11</xm:f>
              </x14:cfvo>
              <x14:cfvo type="num">
                <xm:f>Konfiguration!$D$11</xm:f>
              </x14:cfvo>
              <x14:cfvo type="num">
                <xm:f>Konfiguration!$C$11</xm:f>
              </x14:cfvo>
              <x14:color rgb="FFF8696B"/>
              <x14:color rgb="FFFFEB84"/>
              <x14:color rgb="FF63BE7B"/>
            </x14:colorScale>
          </x14:cfRule>
          <xm:sqref>F13</xm:sqref>
        </x14:conditionalFormatting>
        <x14:conditionalFormatting xmlns:xm="http://schemas.microsoft.com/office/excel/2006/main">
          <x14:cfRule type="colorScale" priority="2" id="{AC54BC7C-8A7D-4CFB-BEA9-74C3D4AA647A}">
            <x14:colorScale>
              <x14:cfvo type="num">
                <xm:f>Konfiguration!$E$12</xm:f>
              </x14:cfvo>
              <x14:cfvo type="num">
                <xm:f>Konfiguration!$D$12</xm:f>
              </x14:cfvo>
              <x14:cfvo type="num">
                <xm:f>Konfiguration!$C$12</xm:f>
              </x14:cfvo>
              <x14:color rgb="FFF8696B"/>
              <x14:color rgb="FFFFEB84"/>
              <x14:color rgb="FF63BE7B"/>
            </x14:colorScale>
          </x14:cfRule>
          <xm:sqref>F15</xm:sqref>
        </x14:conditionalFormatting>
      </x14:conditionalFormatting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B2:AC47"/>
  <sheetViews>
    <sheetView showGridLines="0" workbookViewId="0">
      <selection activeCell="F29" sqref="F29"/>
    </sheetView>
  </sheetViews>
  <sheetFormatPr baseColWidth="10" defaultColWidth="9.1640625" defaultRowHeight="15"/>
  <cols>
    <col min="2" max="3" width="17" customWidth="1"/>
    <col min="4" max="4" width="10.5" bestFit="1" customWidth="1"/>
    <col min="5" max="5" width="22.33203125" bestFit="1" customWidth="1"/>
    <col min="8" max="8" width="11.6640625" bestFit="1" customWidth="1"/>
    <col min="9" max="9" width="11.6640625" customWidth="1"/>
    <col min="10" max="26" width="9" customWidth="1"/>
    <col min="27" max="27" width="1.6640625" customWidth="1"/>
    <col min="28" max="28" width="37.1640625" customWidth="1"/>
  </cols>
  <sheetData>
    <row r="2" spans="2:26" ht="16">
      <c r="B2" s="311" t="s">
        <v>323</v>
      </c>
    </row>
    <row r="3" spans="2:26" ht="33" customHeight="1" thickBot="1"/>
    <row r="4" spans="2:26">
      <c r="B4" s="506" t="s">
        <v>339</v>
      </c>
      <c r="C4" s="507"/>
      <c r="E4" s="517" t="s">
        <v>355</v>
      </c>
      <c r="F4" s="518"/>
      <c r="G4" s="518"/>
      <c r="H4" s="518"/>
      <c r="I4" s="518"/>
      <c r="J4" s="518"/>
      <c r="K4" s="518"/>
      <c r="L4" s="518"/>
      <c r="M4" s="518"/>
      <c r="N4" s="518"/>
      <c r="O4" s="518"/>
      <c r="P4" s="518"/>
      <c r="Q4" s="518"/>
      <c r="R4" s="518"/>
      <c r="S4" s="518"/>
      <c r="T4" s="518"/>
      <c r="U4" s="518"/>
      <c r="V4" s="518"/>
      <c r="W4" s="518"/>
      <c r="X4" s="518"/>
      <c r="Y4" s="518"/>
      <c r="Z4" s="518"/>
    </row>
    <row r="5" spans="2:26">
      <c r="B5" s="303" t="s">
        <v>338</v>
      </c>
      <c r="C5" s="304" t="s">
        <v>340</v>
      </c>
      <c r="E5" s="15" t="s">
        <v>73</v>
      </c>
      <c r="F5" s="324" t="s">
        <v>360</v>
      </c>
      <c r="G5" s="510" t="s">
        <v>374</v>
      </c>
      <c r="H5" s="404" t="s">
        <v>371</v>
      </c>
      <c r="I5" s="325" t="s">
        <v>11</v>
      </c>
      <c r="J5" s="325" t="s">
        <v>258</v>
      </c>
      <c r="K5" s="325" t="s">
        <v>1</v>
      </c>
      <c r="L5" s="325" t="s">
        <v>317</v>
      </c>
      <c r="M5" s="325" t="s">
        <v>299</v>
      </c>
      <c r="N5" s="325" t="s">
        <v>361</v>
      </c>
      <c r="O5" s="325" t="s">
        <v>44</v>
      </c>
      <c r="P5" s="325" t="s">
        <v>45</v>
      </c>
      <c r="Q5" s="325" t="s">
        <v>131</v>
      </c>
      <c r="R5" s="325" t="s">
        <v>362</v>
      </c>
      <c r="S5" s="325" t="s">
        <v>363</v>
      </c>
      <c r="T5" s="325" t="s">
        <v>364</v>
      </c>
      <c r="U5" s="325" t="s">
        <v>365</v>
      </c>
      <c r="V5" s="325" t="s">
        <v>366</v>
      </c>
      <c r="W5" s="325" t="s">
        <v>367</v>
      </c>
      <c r="X5" s="325" t="s">
        <v>345</v>
      </c>
      <c r="Y5" s="325" t="s">
        <v>372</v>
      </c>
      <c r="Z5" s="325" t="s">
        <v>373</v>
      </c>
    </row>
    <row r="6" spans="2:26">
      <c r="B6" s="305" t="s">
        <v>325</v>
      </c>
      <c r="C6" s="307">
        <v>462</v>
      </c>
      <c r="E6" s="15"/>
      <c r="F6" s="324"/>
      <c r="G6" s="511"/>
      <c r="H6" s="324" t="s">
        <v>368</v>
      </c>
      <c r="I6" s="325">
        <f>IF('0'!E12&lt;&gt;"",1,0)</f>
        <v>0</v>
      </c>
      <c r="J6" s="325">
        <f ca="1">IF('0'!E14&lt;&gt;"",1,0)</f>
        <v>1</v>
      </c>
      <c r="K6" s="325">
        <f>IF('1'!E8&lt;&gt;"",1,0)</f>
        <v>0</v>
      </c>
      <c r="L6" s="325">
        <f>IF('1'!E10&lt;&gt;"",1,0)</f>
        <v>0</v>
      </c>
      <c r="M6" s="325">
        <f>IF('2'!D8&lt;&gt;Konfiguration!B15,1,0)</f>
        <v>0</v>
      </c>
      <c r="N6" s="325">
        <f>IF('4'!E8&lt;&gt;"",1,0)</f>
        <v>0</v>
      </c>
      <c r="O6" s="325">
        <f>IF('4'!E12&lt;&gt;"",1,0)</f>
        <v>0</v>
      </c>
      <c r="P6" s="325">
        <f>IF('4'!E14&lt;&gt;"",1,0)</f>
        <v>0</v>
      </c>
      <c r="Q6" s="325">
        <f>IF('6'!E8&lt;&gt;"",1,0)</f>
        <v>0</v>
      </c>
      <c r="R6" s="325">
        <f>IF('6'!E11&lt;&gt;"",1,0)</f>
        <v>0</v>
      </c>
      <c r="S6" s="325">
        <f>IF('6'!E13&lt;&gt;"",1,0)</f>
        <v>0</v>
      </c>
      <c r="T6" s="325">
        <f>IF('8'!E10&lt;&gt;"",1,0)</f>
        <v>0</v>
      </c>
      <c r="U6" s="325">
        <f>IF('10'!H8&lt;&gt;"",1,0)</f>
        <v>0</v>
      </c>
      <c r="V6" s="325">
        <f>IF('11'!E8&lt;&gt;"",1,0)</f>
        <v>0</v>
      </c>
      <c r="W6" s="325">
        <f>IF('11'!E10&lt;&gt;"",1,0)</f>
        <v>0</v>
      </c>
      <c r="X6" s="325">
        <f>IF('12'!D8&lt;&gt;"",1,0)</f>
        <v>0</v>
      </c>
      <c r="Y6" s="325">
        <f>IF('12'!E10&lt;&gt;"",1,0)</f>
        <v>0</v>
      </c>
      <c r="Z6" s="325">
        <f>IF('12'!E12&lt;&gt;"",1,0)</f>
        <v>0</v>
      </c>
    </row>
    <row r="7" spans="2:26">
      <c r="B7" s="305" t="s">
        <v>324</v>
      </c>
      <c r="C7" s="307">
        <v>462</v>
      </c>
      <c r="E7" s="15" t="s">
        <v>28</v>
      </c>
      <c r="F7" s="324">
        <f>Cockpit!N10</f>
        <v>0</v>
      </c>
      <c r="G7" s="324" t="str">
        <f t="shared" ref="G7:G12" ca="1" si="0">IF(H7="x",F7,"-")</f>
        <v>-</v>
      </c>
      <c r="H7" s="325" t="str">
        <f t="shared" ref="H7:H12" ca="1" si="1">IF(SUMPRODUCT($I$6:$Z$6,I7:Z7)=SUM(I7:Z7),"x","")</f>
        <v/>
      </c>
      <c r="I7" s="325"/>
      <c r="J7" s="325"/>
      <c r="K7" s="325">
        <v>1</v>
      </c>
      <c r="L7" s="325"/>
      <c r="M7" s="325"/>
      <c r="N7" s="325">
        <v>1</v>
      </c>
      <c r="O7" s="325"/>
      <c r="P7" s="325"/>
      <c r="Q7" s="325"/>
      <c r="R7" s="325"/>
      <c r="S7" s="325"/>
      <c r="T7" s="325"/>
      <c r="U7" s="325"/>
      <c r="V7" s="325"/>
      <c r="W7" s="325"/>
      <c r="X7" s="325"/>
      <c r="Y7" s="325"/>
      <c r="Z7" s="325"/>
    </row>
    <row r="8" spans="2:26">
      <c r="B8" s="305" t="s">
        <v>326</v>
      </c>
      <c r="C8" s="307">
        <v>462</v>
      </c>
      <c r="E8" s="15" t="s">
        <v>357</v>
      </c>
      <c r="F8" s="325" t="str">
        <f ca="1">calc_rf!C7</f>
        <v>sofort</v>
      </c>
      <c r="G8" s="325" t="str">
        <f t="shared" ca="1" si="0"/>
        <v>-</v>
      </c>
      <c r="H8" s="325" t="str">
        <f t="shared" ca="1" si="1"/>
        <v/>
      </c>
      <c r="I8" s="325"/>
      <c r="J8" s="325">
        <v>1</v>
      </c>
      <c r="K8" s="325">
        <v>1</v>
      </c>
      <c r="L8" s="325"/>
      <c r="M8" s="325"/>
      <c r="N8" s="325">
        <v>1</v>
      </c>
      <c r="O8" s="325">
        <v>1</v>
      </c>
      <c r="P8" s="325">
        <v>1</v>
      </c>
      <c r="Q8" s="325"/>
      <c r="R8" s="325"/>
      <c r="S8" s="325"/>
      <c r="T8" s="325"/>
      <c r="U8" s="325"/>
      <c r="V8" s="325"/>
      <c r="W8" s="325"/>
      <c r="X8" s="325"/>
      <c r="Y8" s="325"/>
      <c r="Z8" s="325"/>
    </row>
    <row r="9" spans="2:26">
      <c r="B9" s="305" t="s">
        <v>321</v>
      </c>
      <c r="C9" s="307">
        <v>538</v>
      </c>
      <c r="E9" s="15" t="s">
        <v>358</v>
      </c>
      <c r="F9" s="324">
        <f>Cockpit!Q23</f>
        <v>0</v>
      </c>
      <c r="G9" s="324" t="str">
        <f t="shared" ca="1" si="0"/>
        <v>-</v>
      </c>
      <c r="H9" s="325" t="str">
        <f t="shared" ca="1" si="1"/>
        <v/>
      </c>
      <c r="I9" s="325">
        <v>1</v>
      </c>
      <c r="J9" s="325">
        <v>1</v>
      </c>
      <c r="K9" s="325">
        <v>1</v>
      </c>
      <c r="L9" s="325">
        <v>1</v>
      </c>
      <c r="M9" s="325">
        <v>1</v>
      </c>
      <c r="N9" s="325">
        <v>1</v>
      </c>
      <c r="O9" s="325">
        <v>1</v>
      </c>
      <c r="P9" s="325">
        <v>1</v>
      </c>
      <c r="Q9" s="325">
        <v>1</v>
      </c>
      <c r="R9" s="325">
        <v>1</v>
      </c>
      <c r="S9" s="325">
        <v>1</v>
      </c>
      <c r="T9" s="325"/>
      <c r="U9" s="325"/>
      <c r="V9" s="325"/>
      <c r="W9" s="325"/>
      <c r="X9" s="325"/>
      <c r="Y9" s="325"/>
      <c r="Z9" s="325"/>
    </row>
    <row r="10" spans="2:26">
      <c r="B10" s="305" t="s">
        <v>331</v>
      </c>
      <c r="C10" s="307">
        <v>730</v>
      </c>
      <c r="E10" s="15" t="s">
        <v>369</v>
      </c>
      <c r="F10" s="324">
        <f>Cockpit!Q25</f>
        <v>0</v>
      </c>
      <c r="G10" s="324" t="str">
        <f t="shared" ca="1" si="0"/>
        <v>-</v>
      </c>
      <c r="H10" s="325" t="str">
        <f t="shared" ca="1" si="1"/>
        <v/>
      </c>
      <c r="I10" s="325">
        <v>1</v>
      </c>
      <c r="J10" s="325">
        <v>1</v>
      </c>
      <c r="K10" s="325">
        <v>1</v>
      </c>
      <c r="L10" s="325">
        <v>1</v>
      </c>
      <c r="M10" s="325">
        <v>1</v>
      </c>
      <c r="N10" s="325">
        <v>1</v>
      </c>
      <c r="O10" s="325">
        <v>1</v>
      </c>
      <c r="P10" s="325">
        <v>1</v>
      </c>
      <c r="Q10" s="325">
        <v>1</v>
      </c>
      <c r="R10" s="325">
        <v>1</v>
      </c>
      <c r="S10" s="325">
        <v>1</v>
      </c>
      <c r="T10" s="325">
        <v>1</v>
      </c>
      <c r="U10" s="325">
        <v>1</v>
      </c>
      <c r="V10" s="325">
        <v>1</v>
      </c>
      <c r="W10" s="325">
        <v>1</v>
      </c>
      <c r="X10" s="325">
        <v>1</v>
      </c>
      <c r="Y10" s="325">
        <v>1</v>
      </c>
      <c r="Z10" s="325">
        <v>1</v>
      </c>
    </row>
    <row r="11" spans="2:26">
      <c r="B11" s="305" t="s">
        <v>330</v>
      </c>
      <c r="C11" s="307">
        <v>922</v>
      </c>
      <c r="E11" s="15" t="s">
        <v>370</v>
      </c>
      <c r="F11" s="324">
        <f ca="1">IFERROR(calc_rf!F15,"-")</f>
        <v>0</v>
      </c>
      <c r="G11" s="324" t="str">
        <f t="shared" ca="1" si="0"/>
        <v>-</v>
      </c>
      <c r="H11" s="325" t="str">
        <f t="shared" ca="1" si="1"/>
        <v/>
      </c>
      <c r="I11" s="325">
        <v>1</v>
      </c>
      <c r="J11" s="325">
        <v>1</v>
      </c>
      <c r="K11" s="325">
        <v>1</v>
      </c>
      <c r="L11" s="325">
        <v>1</v>
      </c>
      <c r="M11" s="325">
        <v>1</v>
      </c>
      <c r="N11" s="325">
        <v>1</v>
      </c>
      <c r="O11" s="325">
        <v>1</v>
      </c>
      <c r="P11" s="325">
        <v>1</v>
      </c>
      <c r="Q11" s="325">
        <v>1</v>
      </c>
      <c r="R11" s="325">
        <v>1</v>
      </c>
      <c r="S11" s="325">
        <v>1</v>
      </c>
      <c r="T11" s="325">
        <v>1</v>
      </c>
      <c r="U11" s="325">
        <v>1</v>
      </c>
      <c r="V11" s="325">
        <v>1</v>
      </c>
      <c r="W11" s="325">
        <v>1</v>
      </c>
      <c r="X11" s="325">
        <v>1</v>
      </c>
      <c r="Y11" s="325">
        <v>1</v>
      </c>
      <c r="Z11" s="325">
        <v>1</v>
      </c>
    </row>
    <row r="12" spans="2:26">
      <c r="B12" s="305" t="s">
        <v>329</v>
      </c>
      <c r="C12" s="307">
        <v>1281</v>
      </c>
      <c r="E12" s="15" t="s">
        <v>359</v>
      </c>
      <c r="F12" s="326" t="str">
        <f ca="1">calc_rf!C11</f>
        <v>-</v>
      </c>
      <c r="G12" s="326" t="str">
        <f t="shared" ca="1" si="0"/>
        <v>-</v>
      </c>
      <c r="H12" s="325" t="str">
        <f t="shared" ca="1" si="1"/>
        <v/>
      </c>
      <c r="I12" s="325">
        <v>1</v>
      </c>
      <c r="J12" s="325">
        <v>1</v>
      </c>
      <c r="K12" s="325">
        <v>1</v>
      </c>
      <c r="L12" s="325">
        <v>1</v>
      </c>
      <c r="M12" s="325">
        <v>1</v>
      </c>
      <c r="N12" s="325">
        <v>1</v>
      </c>
      <c r="O12" s="325">
        <v>1</v>
      </c>
      <c r="P12" s="325">
        <v>1</v>
      </c>
      <c r="Q12" s="325">
        <v>1</v>
      </c>
      <c r="R12" s="325">
        <v>1</v>
      </c>
      <c r="S12" s="325">
        <v>1</v>
      </c>
      <c r="T12" s="325">
        <v>1</v>
      </c>
      <c r="U12" s="325"/>
      <c r="V12" s="325"/>
      <c r="W12" s="325"/>
      <c r="X12" s="325"/>
      <c r="Y12" s="325"/>
      <c r="Z12" s="325"/>
    </row>
    <row r="13" spans="2:26">
      <c r="B13" s="305" t="s">
        <v>328</v>
      </c>
      <c r="C13" s="307">
        <v>1793</v>
      </c>
    </row>
    <row r="14" spans="2:26" ht="16" thickBot="1">
      <c r="B14" s="306" t="s">
        <v>327</v>
      </c>
      <c r="C14" s="308">
        <v>2057</v>
      </c>
    </row>
    <row r="15" spans="2:26" ht="16" thickBot="1"/>
    <row r="16" spans="2:26">
      <c r="B16" s="506" t="s">
        <v>341</v>
      </c>
      <c r="C16" s="507"/>
      <c r="E16" s="517" t="s">
        <v>418</v>
      </c>
      <c r="F16" s="518"/>
      <c r="G16" s="518"/>
      <c r="H16" s="518"/>
      <c r="I16" s="518"/>
      <c r="J16" s="518"/>
      <c r="K16" s="518"/>
      <c r="L16" s="518"/>
      <c r="M16" s="518"/>
      <c r="N16" s="518"/>
      <c r="O16" s="518"/>
      <c r="P16" s="518"/>
      <c r="Q16" s="518"/>
      <c r="R16" s="518"/>
      <c r="S16" s="518"/>
      <c r="T16" s="518"/>
      <c r="U16" s="518"/>
      <c r="V16" s="518"/>
      <c r="W16" s="518"/>
      <c r="X16" s="518"/>
      <c r="Y16" s="518"/>
      <c r="Z16" s="518"/>
    </row>
    <row r="17" spans="2:29" ht="15" customHeight="1">
      <c r="B17" s="323" t="s">
        <v>342</v>
      </c>
      <c r="C17" s="304" t="s">
        <v>340</v>
      </c>
      <c r="E17" s="15" t="s">
        <v>73</v>
      </c>
      <c r="F17" s="453" t="s">
        <v>371</v>
      </c>
      <c r="G17" s="516"/>
      <c r="H17" s="405"/>
      <c r="I17" s="325" t="s">
        <v>11</v>
      </c>
      <c r="J17" s="325" t="s">
        <v>258</v>
      </c>
      <c r="K17" s="325" t="s">
        <v>1</v>
      </c>
      <c r="L17" s="325" t="s">
        <v>317</v>
      </c>
      <c r="M17" s="325" t="s">
        <v>299</v>
      </c>
      <c r="N17" s="325" t="s">
        <v>361</v>
      </c>
      <c r="O17" s="325" t="s">
        <v>44</v>
      </c>
      <c r="P17" s="325" t="s">
        <v>45</v>
      </c>
      <c r="Q17" s="325" t="s">
        <v>131</v>
      </c>
      <c r="R17" s="325" t="s">
        <v>362</v>
      </c>
      <c r="S17" s="325" t="s">
        <v>363</v>
      </c>
      <c r="T17" s="325" t="s">
        <v>364</v>
      </c>
      <c r="U17" s="325" t="s">
        <v>365</v>
      </c>
      <c r="V17" s="325" t="s">
        <v>366</v>
      </c>
      <c r="W17" s="325" t="s">
        <v>367</v>
      </c>
      <c r="X17" s="325" t="s">
        <v>345</v>
      </c>
      <c r="Y17" s="325" t="s">
        <v>372</v>
      </c>
      <c r="Z17" s="325" t="s">
        <v>373</v>
      </c>
    </row>
    <row r="18" spans="2:29">
      <c r="B18" s="309">
        <v>0</v>
      </c>
      <c r="C18" s="307">
        <v>150</v>
      </c>
      <c r="E18" s="15"/>
      <c r="F18" s="324" t="s">
        <v>368</v>
      </c>
      <c r="G18" s="324" t="s">
        <v>416</v>
      </c>
      <c r="H18" s="324"/>
      <c r="I18" s="325">
        <f>I6</f>
        <v>0</v>
      </c>
      <c r="J18" s="325">
        <f t="shared" ref="J18:Z18" ca="1" si="2">J6</f>
        <v>1</v>
      </c>
      <c r="K18" s="325">
        <f t="shared" si="2"/>
        <v>0</v>
      </c>
      <c r="L18" s="325">
        <f t="shared" si="2"/>
        <v>0</v>
      </c>
      <c r="M18" s="325">
        <f t="shared" si="2"/>
        <v>0</v>
      </c>
      <c r="N18" s="325">
        <f t="shared" si="2"/>
        <v>0</v>
      </c>
      <c r="O18" s="325">
        <f t="shared" si="2"/>
        <v>0</v>
      </c>
      <c r="P18" s="325">
        <f t="shared" si="2"/>
        <v>0</v>
      </c>
      <c r="Q18" s="325">
        <f t="shared" si="2"/>
        <v>0</v>
      </c>
      <c r="R18" s="325">
        <f t="shared" si="2"/>
        <v>0</v>
      </c>
      <c r="S18" s="325">
        <f t="shared" si="2"/>
        <v>0</v>
      </c>
      <c r="T18" s="325">
        <f t="shared" si="2"/>
        <v>0</v>
      </c>
      <c r="U18" s="325">
        <f t="shared" si="2"/>
        <v>0</v>
      </c>
      <c r="V18" s="325">
        <f t="shared" si="2"/>
        <v>0</v>
      </c>
      <c r="W18" s="325">
        <f t="shared" si="2"/>
        <v>0</v>
      </c>
      <c r="X18" s="325">
        <f t="shared" si="2"/>
        <v>0</v>
      </c>
      <c r="Y18" s="325">
        <f t="shared" si="2"/>
        <v>0</v>
      </c>
      <c r="Z18" s="325">
        <f t="shared" si="2"/>
        <v>0</v>
      </c>
    </row>
    <row r="19" spans="2:29">
      <c r="B19" s="309">
        <v>1000</v>
      </c>
      <c r="C19" s="307">
        <v>250</v>
      </c>
      <c r="E19" s="15" t="s">
        <v>28</v>
      </c>
      <c r="F19" s="325" t="str">
        <f ca="1">H7</f>
        <v/>
      </c>
      <c r="G19" s="406" t="str">
        <f t="shared" ref="G19:G24" ca="1" si="3">IF(AND(F19="x",SUMPRODUCT($I$18:$Z$18,I19:Z19)=SUMIF(I19:Z19,1)),"x","")</f>
        <v/>
      </c>
      <c r="H19" s="406"/>
      <c r="I19" s="325">
        <v>1</v>
      </c>
      <c r="J19" s="325">
        <v>1</v>
      </c>
      <c r="K19" s="325">
        <v>1</v>
      </c>
      <c r="L19" s="325">
        <v>1</v>
      </c>
      <c r="M19" s="325">
        <v>1</v>
      </c>
      <c r="N19" s="325">
        <v>1</v>
      </c>
      <c r="O19" s="325">
        <v>1</v>
      </c>
      <c r="P19" s="325">
        <v>1</v>
      </c>
      <c r="Q19" s="325">
        <v>-1</v>
      </c>
      <c r="R19" s="325">
        <v>-1</v>
      </c>
      <c r="S19" s="325">
        <v>-1</v>
      </c>
      <c r="T19" s="325">
        <v>-1</v>
      </c>
      <c r="U19" s="325">
        <v>-1</v>
      </c>
      <c r="V19" s="325">
        <v>-1</v>
      </c>
      <c r="W19" s="325">
        <v>-1</v>
      </c>
      <c r="X19" s="325">
        <v>-1</v>
      </c>
      <c r="Y19" s="325">
        <v>-1</v>
      </c>
      <c r="Z19" s="325">
        <v>-1</v>
      </c>
      <c r="AC19" s="22"/>
    </row>
    <row r="20" spans="2:29">
      <c r="B20" s="309">
        <v>1500</v>
      </c>
      <c r="C20" s="307">
        <v>300</v>
      </c>
      <c r="E20" s="15" t="s">
        <v>357</v>
      </c>
      <c r="F20" s="325" t="str">
        <f t="shared" ref="F20:F24" ca="1" si="4">H8</f>
        <v/>
      </c>
      <c r="G20" s="406" t="str">
        <f t="shared" ca="1" si="3"/>
        <v/>
      </c>
      <c r="H20" s="325"/>
      <c r="I20" s="325">
        <v>1</v>
      </c>
      <c r="J20" s="325">
        <v>1</v>
      </c>
      <c r="K20" s="325">
        <v>1</v>
      </c>
      <c r="L20" s="325">
        <v>1</v>
      </c>
      <c r="M20" s="325">
        <v>1</v>
      </c>
      <c r="N20" s="325">
        <v>1</v>
      </c>
      <c r="O20" s="325">
        <v>1</v>
      </c>
      <c r="P20" s="325">
        <v>1</v>
      </c>
      <c r="Q20" s="325">
        <v>-1</v>
      </c>
      <c r="R20" s="325">
        <v>-1</v>
      </c>
      <c r="S20" s="325">
        <v>-1</v>
      </c>
      <c r="T20" s="325">
        <v>-1</v>
      </c>
      <c r="U20" s="325">
        <v>-1</v>
      </c>
      <c r="V20" s="325">
        <v>-1</v>
      </c>
      <c r="W20" s="325">
        <v>-1</v>
      </c>
      <c r="X20" s="325">
        <v>-1</v>
      </c>
      <c r="Y20" s="325">
        <v>-1</v>
      </c>
      <c r="Z20" s="325">
        <v>-1</v>
      </c>
    </row>
    <row r="21" spans="2:29">
      <c r="B21" s="309">
        <v>2000</v>
      </c>
      <c r="C21" s="307">
        <v>500</v>
      </c>
      <c r="E21" s="15" t="s">
        <v>358</v>
      </c>
      <c r="F21" s="325" t="str">
        <f t="shared" ca="1" si="4"/>
        <v/>
      </c>
      <c r="G21" s="406" t="str">
        <f t="shared" ca="1" si="3"/>
        <v/>
      </c>
      <c r="H21" s="325"/>
      <c r="I21" s="325">
        <v>1</v>
      </c>
      <c r="J21" s="325">
        <v>1</v>
      </c>
      <c r="K21" s="325">
        <v>1</v>
      </c>
      <c r="L21" s="325">
        <v>1</v>
      </c>
      <c r="M21" s="325">
        <v>1</v>
      </c>
      <c r="N21" s="325">
        <v>1</v>
      </c>
      <c r="O21" s="325">
        <v>1</v>
      </c>
      <c r="P21" s="325">
        <v>1</v>
      </c>
      <c r="Q21" s="325">
        <v>1</v>
      </c>
      <c r="R21" s="325">
        <v>1</v>
      </c>
      <c r="S21" s="325">
        <v>1</v>
      </c>
      <c r="T21" s="325">
        <v>-1</v>
      </c>
      <c r="U21" s="325">
        <v>-1</v>
      </c>
      <c r="V21" s="325">
        <v>-1</v>
      </c>
      <c r="W21" s="325">
        <v>-1</v>
      </c>
      <c r="X21" s="325">
        <v>-1</v>
      </c>
      <c r="Y21" s="325">
        <v>-1</v>
      </c>
      <c r="Z21" s="325">
        <v>-1</v>
      </c>
    </row>
    <row r="22" spans="2:29">
      <c r="B22" s="309">
        <v>2500</v>
      </c>
      <c r="C22" s="307">
        <v>750</v>
      </c>
      <c r="E22" s="15" t="s">
        <v>369</v>
      </c>
      <c r="F22" s="325" t="str">
        <f t="shared" ca="1" si="4"/>
        <v/>
      </c>
      <c r="G22" s="406" t="str">
        <f t="shared" ca="1" si="3"/>
        <v/>
      </c>
      <c r="H22" s="325"/>
      <c r="I22" s="325">
        <v>1</v>
      </c>
      <c r="J22" s="325">
        <v>1</v>
      </c>
      <c r="K22" s="325">
        <v>1</v>
      </c>
      <c r="L22" s="325">
        <v>1</v>
      </c>
      <c r="M22" s="325">
        <v>1</v>
      </c>
      <c r="N22" s="325">
        <v>1</v>
      </c>
      <c r="O22" s="325">
        <v>1</v>
      </c>
      <c r="P22" s="325">
        <v>1</v>
      </c>
      <c r="Q22" s="325">
        <v>1</v>
      </c>
      <c r="R22" s="325">
        <v>1</v>
      </c>
      <c r="S22" s="325">
        <v>1</v>
      </c>
      <c r="T22" s="325">
        <v>1</v>
      </c>
      <c r="U22" s="325">
        <v>1</v>
      </c>
      <c r="V22" s="325">
        <v>1</v>
      </c>
      <c r="W22" s="325">
        <v>1</v>
      </c>
      <c r="X22" s="325">
        <v>1</v>
      </c>
      <c r="Y22" s="325">
        <v>1</v>
      </c>
      <c r="Z22" s="325">
        <v>1</v>
      </c>
    </row>
    <row r="23" spans="2:29">
      <c r="B23" s="309">
        <v>3000</v>
      </c>
      <c r="C23" s="307">
        <v>1000</v>
      </c>
      <c r="E23" s="15" t="s">
        <v>370</v>
      </c>
      <c r="F23" s="325" t="str">
        <f t="shared" ca="1" si="4"/>
        <v/>
      </c>
      <c r="G23" s="406" t="str">
        <f t="shared" ca="1" si="3"/>
        <v/>
      </c>
      <c r="H23" s="325"/>
      <c r="I23" s="325">
        <v>1</v>
      </c>
      <c r="J23" s="325">
        <v>1</v>
      </c>
      <c r="K23" s="325">
        <v>1</v>
      </c>
      <c r="L23" s="325">
        <v>1</v>
      </c>
      <c r="M23" s="325">
        <v>1</v>
      </c>
      <c r="N23" s="325">
        <v>1</v>
      </c>
      <c r="O23" s="325">
        <v>1</v>
      </c>
      <c r="P23" s="325">
        <v>1</v>
      </c>
      <c r="Q23" s="325">
        <v>1</v>
      </c>
      <c r="R23" s="325">
        <v>1</v>
      </c>
      <c r="S23" s="325">
        <v>1</v>
      </c>
      <c r="T23" s="325">
        <v>1</v>
      </c>
      <c r="U23" s="325">
        <v>1</v>
      </c>
      <c r="V23" s="325">
        <v>1</v>
      </c>
      <c r="W23" s="325">
        <v>1</v>
      </c>
      <c r="X23" s="325">
        <v>1</v>
      </c>
      <c r="Y23" s="325">
        <v>1</v>
      </c>
      <c r="Z23" s="325">
        <v>1</v>
      </c>
    </row>
    <row r="24" spans="2:29">
      <c r="B24" s="309">
        <v>4000</v>
      </c>
      <c r="C24" s="307">
        <v>1500</v>
      </c>
      <c r="E24" s="15" t="s">
        <v>359</v>
      </c>
      <c r="F24" s="325" t="str">
        <f t="shared" ca="1" si="4"/>
        <v/>
      </c>
      <c r="G24" s="406" t="str">
        <f t="shared" ca="1" si="3"/>
        <v/>
      </c>
      <c r="H24" s="325"/>
      <c r="I24" s="325">
        <v>1</v>
      </c>
      <c r="J24" s="325">
        <v>1</v>
      </c>
      <c r="K24" s="325">
        <v>1</v>
      </c>
      <c r="L24" s="325">
        <v>1</v>
      </c>
      <c r="M24" s="325">
        <v>1</v>
      </c>
      <c r="N24" s="325">
        <v>1</v>
      </c>
      <c r="O24" s="325">
        <v>1</v>
      </c>
      <c r="P24" s="325">
        <v>1</v>
      </c>
      <c r="Q24" s="325">
        <v>1</v>
      </c>
      <c r="R24" s="325">
        <v>1</v>
      </c>
      <c r="S24" s="325">
        <v>1</v>
      </c>
      <c r="T24" s="325">
        <v>1</v>
      </c>
      <c r="U24" s="325">
        <v>-1</v>
      </c>
      <c r="V24" s="325">
        <v>-1</v>
      </c>
      <c r="W24" s="325">
        <v>-1</v>
      </c>
      <c r="X24" s="325">
        <v>-1</v>
      </c>
      <c r="Y24" s="325">
        <v>-1</v>
      </c>
      <c r="Z24" s="325">
        <v>-1</v>
      </c>
    </row>
    <row r="25" spans="2:29" ht="16" thickBot="1">
      <c r="B25" s="310">
        <v>5000</v>
      </c>
      <c r="C25" s="308">
        <v>2000</v>
      </c>
    </row>
    <row r="26" spans="2:29" ht="16" thickBot="1"/>
    <row r="27" spans="2:29" ht="16" thickBot="1">
      <c r="B27" s="355" t="s">
        <v>393</v>
      </c>
      <c r="E27" s="22" t="s">
        <v>417</v>
      </c>
      <c r="F27" s="22"/>
    </row>
    <row r="28" spans="2:29">
      <c r="B28" s="360" t="s">
        <v>354</v>
      </c>
      <c r="E28" s="22"/>
      <c r="F28" s="22"/>
    </row>
    <row r="29" spans="2:29" ht="14.25" customHeight="1" thickBot="1">
      <c r="B29" s="361" t="s">
        <v>392</v>
      </c>
      <c r="E29" s="22" t="s">
        <v>400</v>
      </c>
      <c r="F29" s="403"/>
    </row>
    <row r="30" spans="2:29">
      <c r="E30" s="22"/>
      <c r="F30" s="22"/>
    </row>
    <row r="31" spans="2:29" ht="16" thickBot="1">
      <c r="F31" s="22"/>
    </row>
    <row r="32" spans="2:29">
      <c r="D32" s="178"/>
      <c r="E32" s="408"/>
      <c r="F32" s="408"/>
      <c r="G32" s="179"/>
      <c r="H32" s="179"/>
      <c r="I32" s="179"/>
      <c r="J32" s="180"/>
    </row>
    <row r="33" spans="2:10">
      <c r="D33" s="181"/>
      <c r="E33" s="512" t="s">
        <v>420</v>
      </c>
      <c r="F33" s="513"/>
      <c r="G33" s="513"/>
      <c r="H33" s="513"/>
      <c r="I33" s="514"/>
      <c r="J33" s="182"/>
    </row>
    <row r="34" spans="2:10">
      <c r="D34" s="181"/>
      <c r="E34" s="22"/>
      <c r="G34" s="519" t="s">
        <v>419</v>
      </c>
      <c r="H34" s="519"/>
      <c r="J34" s="182"/>
    </row>
    <row r="35" spans="2:10">
      <c r="D35" s="181"/>
      <c r="E35" s="22"/>
      <c r="G35" s="409"/>
      <c r="H35" s="409"/>
      <c r="J35" s="182"/>
    </row>
    <row r="36" spans="2:10">
      <c r="D36" s="181"/>
      <c r="E36" s="15" t="s">
        <v>28</v>
      </c>
      <c r="G36" s="515"/>
      <c r="H36" s="515"/>
      <c r="I36" s="515"/>
      <c r="J36" s="182"/>
    </row>
    <row r="37" spans="2:10">
      <c r="D37" s="181"/>
      <c r="E37" s="22"/>
      <c r="G37" s="22"/>
      <c r="J37" s="182"/>
    </row>
    <row r="38" spans="2:10">
      <c r="D38" s="181"/>
      <c r="E38" s="15" t="s">
        <v>357</v>
      </c>
      <c r="G38" s="515"/>
      <c r="H38" s="515"/>
      <c r="I38" s="515"/>
      <c r="J38" s="182"/>
    </row>
    <row r="39" spans="2:10">
      <c r="D39" s="181"/>
      <c r="E39" s="22"/>
      <c r="G39" s="407"/>
      <c r="H39" s="407"/>
      <c r="J39" s="182"/>
    </row>
    <row r="40" spans="2:10">
      <c r="B40" s="22"/>
      <c r="D40" s="181"/>
      <c r="E40" s="15" t="s">
        <v>358</v>
      </c>
      <c r="G40" s="515"/>
      <c r="H40" s="515"/>
      <c r="I40" s="515"/>
      <c r="J40" s="182"/>
    </row>
    <row r="41" spans="2:10">
      <c r="B41" s="22"/>
      <c r="D41" s="181"/>
      <c r="E41" s="22"/>
      <c r="J41" s="182"/>
    </row>
    <row r="42" spans="2:10">
      <c r="B42" s="22"/>
      <c r="D42" s="181"/>
      <c r="E42" s="15" t="s">
        <v>369</v>
      </c>
      <c r="G42" s="515"/>
      <c r="H42" s="515"/>
      <c r="I42" s="515"/>
      <c r="J42" s="182"/>
    </row>
    <row r="43" spans="2:10">
      <c r="B43" s="22"/>
      <c r="D43" s="181"/>
      <c r="E43" s="22"/>
      <c r="J43" s="182"/>
    </row>
    <row r="44" spans="2:10">
      <c r="B44" s="22"/>
      <c r="D44" s="181"/>
      <c r="E44" s="15" t="s">
        <v>370</v>
      </c>
      <c r="G44" s="515"/>
      <c r="H44" s="515"/>
      <c r="I44" s="515"/>
      <c r="J44" s="182"/>
    </row>
    <row r="45" spans="2:10">
      <c r="B45" s="22"/>
      <c r="D45" s="181"/>
      <c r="E45" s="22"/>
      <c r="J45" s="182"/>
    </row>
    <row r="46" spans="2:10">
      <c r="B46" s="22"/>
      <c r="D46" s="181"/>
      <c r="E46" s="15" t="s">
        <v>359</v>
      </c>
      <c r="G46" s="515"/>
      <c r="H46" s="515"/>
      <c r="I46" s="515"/>
      <c r="J46" s="182"/>
    </row>
    <row r="47" spans="2:10" ht="16" thickBot="1">
      <c r="D47" s="183"/>
      <c r="E47" s="184"/>
      <c r="F47" s="184"/>
      <c r="G47" s="184"/>
      <c r="H47" s="184"/>
      <c r="I47" s="184"/>
      <c r="J47" s="185"/>
    </row>
  </sheetData>
  <mergeCells count="14">
    <mergeCell ref="G40:I40"/>
    <mergeCell ref="G42:I42"/>
    <mergeCell ref="G44:I44"/>
    <mergeCell ref="G46:I46"/>
    <mergeCell ref="G34:H34"/>
    <mergeCell ref="B16:C16"/>
    <mergeCell ref="B4:C4"/>
    <mergeCell ref="G5:G6"/>
    <mergeCell ref="E33:I33"/>
    <mergeCell ref="G38:I38"/>
    <mergeCell ref="G36:I36"/>
    <mergeCell ref="F17:G17"/>
    <mergeCell ref="E4:Z4"/>
    <mergeCell ref="E16:Z16"/>
  </mergeCells>
  <conditionalFormatting sqref="F29">
    <cfRule type="expression" dxfId="6" priority="16">
      <formula>NOT($H$10="x")</formula>
    </cfRule>
  </conditionalFormatting>
  <conditionalFormatting sqref="G36:I36">
    <cfRule type="expression" dxfId="5" priority="5">
      <formula>$G$19="x"</formula>
    </cfRule>
  </conditionalFormatting>
  <conditionalFormatting sqref="G38:I38">
    <cfRule type="expression" dxfId="4" priority="10">
      <formula>$G$20="x"</formula>
    </cfRule>
  </conditionalFormatting>
  <conditionalFormatting sqref="G40:I40">
    <cfRule type="expression" dxfId="3" priority="4">
      <formula>$G$21="x"</formula>
    </cfRule>
  </conditionalFormatting>
  <conditionalFormatting sqref="G42:I42">
    <cfRule type="expression" dxfId="2" priority="3">
      <formula>$G$22="x"</formula>
    </cfRule>
  </conditionalFormatting>
  <conditionalFormatting sqref="G44:I44">
    <cfRule type="expression" dxfId="1" priority="2">
      <formula>$G$23="x"</formula>
    </cfRule>
  </conditionalFormatting>
  <conditionalFormatting sqref="G46:I46">
    <cfRule type="expression" dxfId="0" priority="1">
      <formula>$G$24="x"</formula>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expression" priority="13" id="{975F5508-DB53-46D5-9774-2DD7B27212E6}">
            <xm:f>AND($H$10="x",$G$10&lt;Konfiguration!$D$12)</xm:f>
            <x14:dxf>
              <fill>
                <patternFill>
                  <bgColor theme="4"/>
                </patternFill>
              </fill>
            </x14:dxf>
          </x14:cfRule>
          <x14:cfRule type="expression" priority="14" id="{CA249178-558F-41DC-B1DC-70D8E57C10BE}">
            <xm:f>AND($H$10="x",$G$10&gt;Konfiguration!$C$12)</xm:f>
            <x14:dxf>
              <fill>
                <patternFill>
                  <bgColor theme="7"/>
                </patternFill>
              </fill>
            </x14:dxf>
          </x14:cfRule>
          <x14:cfRule type="expression" priority="15" id="{FCE21A82-CB69-41F8-A1CE-1769CB7FE724}">
            <xm:f>AND($H$10="x",$G$10&gt;Konfiguration!$D$12)</xm:f>
            <x14:dxf>
              <fill>
                <patternFill>
                  <bgColor rgb="FFFFFF00"/>
                </patternFill>
              </fill>
            </x14:dxf>
          </x14:cfRule>
          <xm:sqref>F29</xm:sqref>
        </x14:conditionalFormatting>
      </x14:conditionalFormatting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B2:E30"/>
  <sheetViews>
    <sheetView showGridLines="0" workbookViewId="0">
      <selection activeCell="B16" sqref="B16:C16"/>
    </sheetView>
  </sheetViews>
  <sheetFormatPr baseColWidth="10" defaultColWidth="9.1640625" defaultRowHeight="15"/>
  <cols>
    <col min="2" max="2" width="23.33203125" customWidth="1"/>
    <col min="3" max="3" width="31.33203125" customWidth="1"/>
    <col min="4" max="4" width="16.5" customWidth="1"/>
    <col min="5" max="5" width="106.83203125" customWidth="1"/>
    <col min="6" max="18" width="9" customWidth="1"/>
  </cols>
  <sheetData>
    <row r="2" spans="2:5" ht="16">
      <c r="B2" s="311" t="s">
        <v>402</v>
      </c>
    </row>
    <row r="3" spans="2:5" ht="33" customHeight="1"/>
    <row r="5" spans="2:5">
      <c r="B5" s="380" t="s">
        <v>403</v>
      </c>
      <c r="C5" s="380" t="s">
        <v>391</v>
      </c>
      <c r="D5" s="380" t="s">
        <v>405</v>
      </c>
      <c r="E5" s="380" t="s">
        <v>413</v>
      </c>
    </row>
    <row r="6" spans="2:5">
      <c r="B6" s="378" t="s">
        <v>404</v>
      </c>
      <c r="C6" s="378" t="s">
        <v>409</v>
      </c>
      <c r="D6" s="378" t="s">
        <v>407</v>
      </c>
      <c r="E6" s="378" t="s">
        <v>408</v>
      </c>
    </row>
    <row r="7" spans="2:5">
      <c r="B7" s="378" t="s">
        <v>404</v>
      </c>
      <c r="C7" s="378" t="s">
        <v>409</v>
      </c>
      <c r="D7" s="378" t="s">
        <v>406</v>
      </c>
      <c r="E7" s="378" t="str">
        <f ca="1">IF(cnfg_rf!H9="x",E6,"")</f>
        <v/>
      </c>
    </row>
    <row r="8" spans="2:5">
      <c r="B8" s="378" t="s">
        <v>404</v>
      </c>
      <c r="C8" s="378" t="s">
        <v>410</v>
      </c>
      <c r="D8" s="378" t="s">
        <v>406</v>
      </c>
      <c r="E8" s="378" t="str">
        <f ca="1">IF(cnfg_rf!H9="x","Du weißt jetzt, wie viel von deiner Miete monatlich vor Steuern übrig bleibt.","Bitte fülle alle erforderlichen Eingabefelder, um den Cashflow vor Steuern zu berechnen.")</f>
        <v>Bitte fülle alle erforderlichen Eingabefelder, um den Cashflow vor Steuern zu berechnen.</v>
      </c>
    </row>
    <row r="9" spans="2:5">
      <c r="B9" s="378" t="s">
        <v>404</v>
      </c>
      <c r="C9" s="378" t="s">
        <v>411</v>
      </c>
      <c r="D9" s="379" t="s">
        <v>407</v>
      </c>
      <c r="E9" s="379" t="str">
        <f>CONCATENATE("Der Überschuss ergibt sich aus deiner Miete (",TEXT(ROUND(Cockpit!H9,0),"#.###")," €) abzüglich der Rate an die Bank (",TEXT(ROUND(Cockpit!N13,0),"#.###")," €), der nicht umlagefähigen Kosten (",TEXT(ROUND(Cockpit!K29-Cockpit!K26-Cockpit!K27,0),"#.###")," €) und deiner eigenen Rücklagen (",TEXT(ROUND(Cockpit!K26+Cockpit!K27,0),"#.###")," €).")</f>
        <v>Der Überschuss ergibt sich aus deiner Miete ( €) abzüglich der Rate an die Bank ( €), der nicht umlagefähigen Kosten ( €) und deiner eigenen Rücklagen ( €).</v>
      </c>
    </row>
    <row r="10" spans="2:5">
      <c r="B10" s="378" t="s">
        <v>404</v>
      </c>
      <c r="C10" s="378" t="s">
        <v>411</v>
      </c>
      <c r="D10" s="379" t="s">
        <v>406</v>
      </c>
      <c r="E10" s="379" t="str">
        <f ca="1">IF(cnfg_rf!H9="x",txt_rf!E9,"")</f>
        <v/>
      </c>
    </row>
    <row r="11" spans="2:5">
      <c r="B11" s="378"/>
      <c r="C11" s="378"/>
      <c r="D11" s="378"/>
      <c r="E11" s="378"/>
    </row>
    <row r="12" spans="2:5">
      <c r="B12" s="378" t="s">
        <v>404</v>
      </c>
      <c r="C12" s="378" t="s">
        <v>409</v>
      </c>
      <c r="D12" s="378" t="s">
        <v>406</v>
      </c>
      <c r="E12" s="378" t="str">
        <f ca="1">IF(cnfg_rf!H10="x","Herzlichen Glückwunsch!","")</f>
        <v/>
      </c>
    </row>
    <row r="13" spans="2:5">
      <c r="B13" s="378" t="s">
        <v>404</v>
      </c>
      <c r="C13" s="378" t="s">
        <v>410</v>
      </c>
      <c r="D13" s="378" t="s">
        <v>406</v>
      </c>
      <c r="E13" s="378" t="str">
        <f ca="1">IF(cnfg_rf!H10="x","Du weißt jetzt, wie viel von deiner Miete monatlich nach Steuern übrig bleibt.","Bitte fülle alle Eingabefelder, um den Cashflow nach Steuern zu berechnen.")</f>
        <v>Bitte fülle alle Eingabefelder, um den Cashflow nach Steuern zu berechnen.</v>
      </c>
    </row>
    <row r="14" spans="2:5">
      <c r="B14" s="378" t="s">
        <v>404</v>
      </c>
      <c r="C14" s="378" t="s">
        <v>411</v>
      </c>
      <c r="D14" s="379" t="s">
        <v>407</v>
      </c>
      <c r="E14" s="379" t="str">
        <f>CONCATENATE("Der Überschuss ergibt sich aus deiner Miete (",TEXT(ROUND(Cockpit!H9,0),"#.###")," €) abzüglich der Rate an die Bank (",TEXT(ROUND(Cockpit!N13,0),"#.###")," €), der nicht umlagefähigen Kosten (",TEXT(ROUND(Cockpit!K29-Cockpit!K26-Cockpit!K27,0),"#.###")," €) und deiner eigenen Rücklagen (",TEXT(ROUND(Cockpit!K26+Cockpit!K27,0),"#.###")," €) und der Steuern (",TEXT(ROUND(Cockpit!Q34,0),"#.###")," €).")</f>
        <v>Der Überschuss ergibt sich aus deiner Miete ( €) abzüglich der Rate an die Bank ( €), der nicht umlagefähigen Kosten ( €) und deiner eigenen Rücklagen ( €) und der Steuern ( €).</v>
      </c>
    </row>
    <row r="15" spans="2:5">
      <c r="B15" s="378" t="s">
        <v>404</v>
      </c>
      <c r="C15" s="378" t="s">
        <v>411</v>
      </c>
      <c r="D15" s="379" t="s">
        <v>406</v>
      </c>
      <c r="E15" s="379" t="str">
        <f ca="1">IF(cnfg_rf!H10="x",txt_rf!E14,"")</f>
        <v/>
      </c>
    </row>
    <row r="16" spans="2:5">
      <c r="B16" s="378"/>
      <c r="C16" s="378"/>
      <c r="D16" s="378"/>
      <c r="E16" s="378"/>
    </row>
    <row r="17" spans="2:5">
      <c r="B17" s="378"/>
      <c r="C17" s="378"/>
      <c r="D17" s="378"/>
      <c r="E17" s="378"/>
    </row>
    <row r="18" spans="2:5">
      <c r="B18" s="378" t="s">
        <v>412</v>
      </c>
      <c r="C18" s="378" t="s">
        <v>401</v>
      </c>
      <c r="D18" s="378" t="s">
        <v>406</v>
      </c>
      <c r="E18" s="378" t="str">
        <f>IF('3'!E16&gt;0,CONCATENATE("Bitte berücksichtige dabei auch, dass du ",TEXT(ROUND('3'!E16,0),"#.###")," Euro für Maßnahmen bei einem Mieterwechsel eingeplant hast."),"")</f>
        <v/>
      </c>
    </row>
    <row r="19" spans="2:5">
      <c r="B19" s="378"/>
      <c r="C19" s="378"/>
      <c r="D19" s="378"/>
      <c r="E19" s="378"/>
    </row>
    <row r="20" spans="2:5">
      <c r="B20" s="378" t="s">
        <v>414</v>
      </c>
      <c r="C20" s="378" t="s">
        <v>415</v>
      </c>
      <c r="D20" s="378" t="s">
        <v>406</v>
      </c>
      <c r="E20" s="378" t="str">
        <f ca="1">CONCATENATE("In ",IF(calc_rf!C9=1,"einem Jahr",CONCATENATE(calc_rf!C9," Jahren"))," hast du noch ",TEXT(ROUND(calc_rf!C10,0),"#.###0")," Euro Schulden. Bei einem neuen Zinssatz von ",IFERROR(TEXT(ROUND(calc_rf!C11*100,1),"#,0"),"-")," % bleibt deine Rate an die Bank genau gleich hoch wie jetzt am Anfang. Bei jedem Prozent darüber steigt deine Rate an die Bank um ",TEXT(ROUND(calc_rf!C12,0),"#.###0")," Euro.")</f>
        <v>In einem Jahr hast du noch 0 Euro Schulden. Bei einem neuen Zinssatz von - % bleibt deine Rate an die Bank genau gleich hoch wie jetzt am Anfang. Bei jedem Prozent darüber steigt deine Rate an die Bank um 0 Euro.</v>
      </c>
    </row>
    <row r="21" spans="2:5">
      <c r="B21" s="378"/>
      <c r="C21" s="378"/>
      <c r="D21" s="378"/>
      <c r="E21" s="378"/>
    </row>
    <row r="22" spans="2:5">
      <c r="B22" s="378"/>
      <c r="C22" s="378"/>
      <c r="D22" s="378"/>
      <c r="E22" s="378"/>
    </row>
    <row r="23" spans="2:5">
      <c r="B23" s="378"/>
      <c r="C23" s="378"/>
      <c r="D23" s="378"/>
      <c r="E23" s="378"/>
    </row>
    <row r="24" spans="2:5">
      <c r="B24" s="378"/>
      <c r="C24" s="378"/>
      <c r="D24" s="378"/>
      <c r="E24" s="378"/>
    </row>
    <row r="25" spans="2:5">
      <c r="B25" s="378"/>
      <c r="C25" s="378"/>
      <c r="D25" s="378"/>
      <c r="E25" s="378"/>
    </row>
    <row r="26" spans="2:5">
      <c r="B26" s="378"/>
      <c r="C26" s="378"/>
      <c r="D26" s="378"/>
      <c r="E26" s="378"/>
    </row>
    <row r="27" spans="2:5">
      <c r="B27" s="378"/>
      <c r="C27" s="378"/>
      <c r="D27" s="378"/>
      <c r="E27" s="378"/>
    </row>
    <row r="28" spans="2:5">
      <c r="B28" s="378"/>
      <c r="C28" s="378"/>
      <c r="D28" s="378"/>
      <c r="E28" s="378"/>
    </row>
    <row r="29" spans="2:5">
      <c r="B29" s="378"/>
      <c r="C29" s="378"/>
      <c r="D29" s="378"/>
      <c r="E29" s="378"/>
    </row>
    <row r="30" spans="2:5">
      <c r="B30" s="378"/>
      <c r="C30" s="378"/>
      <c r="D30" s="378"/>
      <c r="E30" s="378"/>
    </row>
  </sheetData>
  <sheetProtection algorithmName="SHA-512" hashValue="vJVJfmF26mJqXL5SZKa91bAvtoh1gJt6Im4LxB0odnfB0eeIAhq7+t5B9wj/a5kLQC1+4LfttXX5H117wuf5dQ==" saltValue="NnwG92Bm+G+X5pR3y4RZbQ==" spinCount="100000" sheet="1" objects="1" scenarios="1"/>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B2:E39"/>
  <sheetViews>
    <sheetView showGridLines="0" workbookViewId="0">
      <selection activeCell="B16" sqref="B16:C16"/>
    </sheetView>
  </sheetViews>
  <sheetFormatPr baseColWidth="10" defaultColWidth="9.1640625" defaultRowHeight="15"/>
  <cols>
    <col min="2" max="2" width="42" customWidth="1"/>
    <col min="3" max="3" width="17" customWidth="1"/>
    <col min="4" max="4" width="10.5" bestFit="1" customWidth="1"/>
    <col min="5" max="5" width="15.5" customWidth="1"/>
  </cols>
  <sheetData>
    <row r="2" spans="2:5" ht="16">
      <c r="B2" s="311" t="s">
        <v>375</v>
      </c>
    </row>
    <row r="3" spans="2:5" ht="30" customHeight="1" thickBot="1"/>
    <row r="4" spans="2:5" ht="29">
      <c r="B4" s="354" t="s">
        <v>391</v>
      </c>
      <c r="C4" s="334" t="s">
        <v>387</v>
      </c>
      <c r="D4" s="335"/>
      <c r="E4" s="336" t="s">
        <v>386</v>
      </c>
    </row>
    <row r="5" spans="2:5">
      <c r="B5" s="181"/>
      <c r="E5" s="182"/>
    </row>
    <row r="6" spans="2:5">
      <c r="B6" s="181"/>
      <c r="E6" s="182"/>
    </row>
    <row r="7" spans="2:5">
      <c r="B7" s="181" t="s">
        <v>344</v>
      </c>
      <c r="C7" s="337">
        <f>'12'!E10</f>
        <v>0</v>
      </c>
      <c r="E7" s="338">
        <f>'12'!E10</f>
        <v>0</v>
      </c>
    </row>
    <row r="8" spans="2:5">
      <c r="B8" s="181"/>
      <c r="E8" s="182"/>
    </row>
    <row r="9" spans="2:5">
      <c r="B9" s="181" t="s">
        <v>388</v>
      </c>
      <c r="C9" s="337">
        <f>ROUNDDOWN(C7,0)</f>
        <v>0</v>
      </c>
      <c r="E9" s="338">
        <f>ROUNDDOWN(E7,0)</f>
        <v>0</v>
      </c>
    </row>
    <row r="10" spans="2:5">
      <c r="B10" s="181"/>
      <c r="E10" s="182"/>
    </row>
    <row r="11" spans="2:5">
      <c r="B11" s="339"/>
      <c r="C11" s="34"/>
      <c r="D11" s="34"/>
      <c r="E11" s="340"/>
    </row>
    <row r="12" spans="2:5" ht="16">
      <c r="B12" s="341" t="s">
        <v>385</v>
      </c>
      <c r="C12" s="327">
        <v>1</v>
      </c>
      <c r="D12" s="328"/>
      <c r="E12" s="342">
        <v>1</v>
      </c>
    </row>
    <row r="13" spans="2:5">
      <c r="B13" s="341"/>
      <c r="C13" s="327"/>
      <c r="D13" s="328"/>
      <c r="E13" s="342"/>
    </row>
    <row r="14" spans="2:5" ht="16">
      <c r="B14" s="341" t="s">
        <v>384</v>
      </c>
      <c r="C14" s="327">
        <f>C9</f>
        <v>0</v>
      </c>
      <c r="D14" s="328"/>
      <c r="E14" s="342">
        <f>E9</f>
        <v>0</v>
      </c>
    </row>
    <row r="15" spans="2:5">
      <c r="B15" s="341"/>
      <c r="C15" s="327"/>
      <c r="D15" s="328"/>
      <c r="E15" s="342"/>
    </row>
    <row r="16" spans="2:5">
      <c r="B16" s="181" t="s">
        <v>381</v>
      </c>
      <c r="C16" s="343">
        <f>C14</f>
        <v>0</v>
      </c>
      <c r="D16" s="329"/>
      <c r="E16" s="344">
        <f>(E14/2)</f>
        <v>0</v>
      </c>
    </row>
    <row r="17" spans="2:5">
      <c r="B17" s="181" t="s">
        <v>380</v>
      </c>
      <c r="C17" s="343">
        <f>(C14-8472)/10000</f>
        <v>-0.84719999999999995</v>
      </c>
      <c r="D17" s="329"/>
      <c r="E17" s="344">
        <f>(E16-8472)/10000</f>
        <v>-0.84719999999999995</v>
      </c>
    </row>
    <row r="18" spans="2:5">
      <c r="B18" s="181" t="s">
        <v>379</v>
      </c>
      <c r="C18" s="343">
        <f>(C14-13469)/10000</f>
        <v>-1.3469</v>
      </c>
      <c r="D18" s="329"/>
      <c r="E18" s="344">
        <f>(E16-13469)/10000</f>
        <v>-1.3469</v>
      </c>
    </row>
    <row r="19" spans="2:5">
      <c r="B19" s="341"/>
      <c r="C19" s="327"/>
      <c r="D19" s="328"/>
      <c r="E19" s="342"/>
    </row>
    <row r="20" spans="2:5">
      <c r="B20" s="341"/>
      <c r="C20" s="327"/>
      <c r="D20" s="328"/>
      <c r="E20" s="342"/>
    </row>
    <row r="21" spans="2:5">
      <c r="B21" s="181"/>
      <c r="E21" s="182"/>
    </row>
    <row r="22" spans="2:5">
      <c r="B22" s="181" t="s">
        <v>383</v>
      </c>
      <c r="C22" s="345">
        <f>C9+C12</f>
        <v>1</v>
      </c>
      <c r="E22" s="346">
        <f>E9+E12</f>
        <v>1</v>
      </c>
    </row>
    <row r="23" spans="2:5">
      <c r="B23" s="181"/>
      <c r="E23" s="182"/>
    </row>
    <row r="24" spans="2:5">
      <c r="B24" s="181" t="s">
        <v>382</v>
      </c>
      <c r="C24" s="337">
        <f>ROUNDDOWN(C22,0)</f>
        <v>1</v>
      </c>
      <c r="E24" s="338">
        <f>ROUNDDOWN(E22,0)</f>
        <v>1</v>
      </c>
    </row>
    <row r="25" spans="2:5">
      <c r="B25" s="181"/>
      <c r="E25" s="182"/>
    </row>
    <row r="26" spans="2:5">
      <c r="B26" s="181" t="s">
        <v>381</v>
      </c>
      <c r="C26" s="343">
        <f>C24</f>
        <v>1</v>
      </c>
      <c r="E26" s="344">
        <f>E22/2</f>
        <v>0.5</v>
      </c>
    </row>
    <row r="27" spans="2:5">
      <c r="B27" s="181" t="s">
        <v>380</v>
      </c>
      <c r="C27" s="343">
        <f>(C24-8472)/10000</f>
        <v>-0.84709999999999996</v>
      </c>
      <c r="E27" s="344">
        <f>(E26-8472)/10000</f>
        <v>-0.84714999999999996</v>
      </c>
    </row>
    <row r="28" spans="2:5">
      <c r="B28" s="181" t="s">
        <v>379</v>
      </c>
      <c r="C28" s="343">
        <f>(C24-13469)/10000</f>
        <v>-1.3468</v>
      </c>
      <c r="E28" s="344">
        <f>(E26-13469)/10000</f>
        <v>-1.3468500000000001</v>
      </c>
    </row>
    <row r="29" spans="2:5">
      <c r="B29" s="181"/>
      <c r="E29" s="182"/>
    </row>
    <row r="30" spans="2:5">
      <c r="B30" s="347" t="s">
        <v>378</v>
      </c>
      <c r="C30" s="348">
        <f>IF(C14&lt;=8354,0,IF(C14&lt;=13469,(974.58*C17+1400)*C17,IF(C14&lt;=52881,(228.74*C18+2397)*C18+971,IF(C14&lt;=250730,0.42*C16-8239,0.45*C16-15761))))</f>
        <v>0</v>
      </c>
      <c r="D30" s="330"/>
      <c r="E30" s="349">
        <f>IF(E16&lt;=8354,0,IF(E16&lt;=13469,(974.58*E17+1400)*E17,IF(E16&lt;=52881,(228.74*E18+2397)*E18+971,IF(E16&lt;=250730,0.42*E16-8239,0.45*E16-15761))))*2</f>
        <v>0</v>
      </c>
    </row>
    <row r="31" spans="2:5" ht="29">
      <c r="B31" s="350" t="s">
        <v>377</v>
      </c>
      <c r="C31" s="348">
        <f>IF(C24&lt;=8354,0,IF(C24&lt;=13469,(974.58*C27+1400)*C27,IF(C24&lt;=52881,(228.74*C28+2397)*C28+971,IF(C24&lt;=250730,0.42*C26-8239,0.45*C26-15761))))</f>
        <v>0</v>
      </c>
      <c r="D31" s="330"/>
      <c r="E31" s="349">
        <f>IF(E26&lt;=8354,0,IF(E26&lt;=13469,(974.58*E27+1400)*E27,IF(E26&lt;=52881,(228.74*E28+2397)*E28+971,IF(E26&lt;=250730,0.42*E26-8239,0.45*E26-15761))))*2</f>
        <v>0</v>
      </c>
    </row>
    <row r="32" spans="2:5">
      <c r="B32" s="181"/>
      <c r="E32" s="182"/>
    </row>
    <row r="33" spans="2:5">
      <c r="B33" s="347" t="s">
        <v>376</v>
      </c>
      <c r="C33" s="332">
        <f>(C31-C30)/(C12)</f>
        <v>0</v>
      </c>
      <c r="E33" s="351">
        <f>(E31-E30)/(E12)</f>
        <v>0</v>
      </c>
    </row>
    <row r="34" spans="2:5">
      <c r="B34" s="181"/>
      <c r="E34" s="182"/>
    </row>
    <row r="35" spans="2:5">
      <c r="B35" s="181" t="s">
        <v>389</v>
      </c>
      <c r="C35" s="333">
        <f>C33*1.055</f>
        <v>0</v>
      </c>
      <c r="E35" s="188">
        <f>E33*1.055</f>
        <v>0</v>
      </c>
    </row>
    <row r="36" spans="2:5">
      <c r="B36" s="181"/>
      <c r="E36" s="182"/>
    </row>
    <row r="37" spans="2:5" ht="16" thickBot="1">
      <c r="B37" s="183" t="s">
        <v>390</v>
      </c>
      <c r="C37" s="352">
        <f>C35*1.085</f>
        <v>0</v>
      </c>
      <c r="D37" s="352"/>
      <c r="E37" s="353">
        <f>E35*1.085</f>
        <v>0</v>
      </c>
    </row>
    <row r="39" spans="2:5">
      <c r="B39" s="356" t="s">
        <v>394</v>
      </c>
      <c r="C39" s="331">
        <f>IF('12'!D8=cnfg_rf!B29,IF('12'!E12="Ja",ekst_rf!E37,ekst_rf!E35),IF('12'!E12="Ja",ekst_rf!C37,ekst_rf!C35))</f>
        <v>0</v>
      </c>
    </row>
  </sheetData>
  <sheetProtection algorithmName="SHA-512" hashValue="59lhuTVPoM9Wk2WC5R5rdigrHut+/nVvssy4xklONu6jaEcnJeOdSr5OYH+ynribwJNQY3ULa2cLb7R0lv64CA==" saltValue="hd3DD+bw3pby4JtjXD6v6w==" spinCount="100000" sheet="1" objects="1" scenarios="1"/>
  <protectedRanges>
    <protectedRange sqref="C7 E7" name="Bereich1_1"/>
  </protectedRange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29</vt:i4>
      </vt:variant>
      <vt:variant>
        <vt:lpstr>Benannte Bereiche</vt:lpstr>
      </vt:variant>
      <vt:variant>
        <vt:i4>26</vt:i4>
      </vt:variant>
    </vt:vector>
  </HeadingPairs>
  <TitlesOfParts>
    <vt:vector size="55" baseType="lpstr">
      <vt:lpstr>Deckblatt</vt:lpstr>
      <vt:lpstr>Roter Faden</vt:lpstr>
      <vt:lpstr>0</vt:lpstr>
      <vt:lpstr>1</vt:lpstr>
      <vt:lpstr>2</vt:lpstr>
      <vt:lpstr>3</vt:lpstr>
      <vt:lpstr>4</vt:lpstr>
      <vt:lpstr>5</vt:lpstr>
      <vt:lpstr>6</vt:lpstr>
      <vt:lpstr>7</vt:lpstr>
      <vt:lpstr>8</vt:lpstr>
      <vt:lpstr>9</vt:lpstr>
      <vt:lpstr>10</vt:lpstr>
      <vt:lpstr>11</vt:lpstr>
      <vt:lpstr>12</vt:lpstr>
      <vt:lpstr>13</vt:lpstr>
      <vt:lpstr>14</vt:lpstr>
      <vt:lpstr>15</vt:lpstr>
      <vt:lpstr>Cockpit</vt:lpstr>
      <vt:lpstr>Bankgespräch</vt:lpstr>
      <vt:lpstr>Kennzahlen im Verlauf</vt:lpstr>
      <vt:lpstr>Diagramme</vt:lpstr>
      <vt:lpstr>Konfiguration</vt:lpstr>
      <vt:lpstr>Haushaltsrechnung</vt:lpstr>
      <vt:lpstr>Vermögensaufstellung</vt:lpstr>
      <vt:lpstr>calc_rf</vt:lpstr>
      <vt:lpstr>cnfg_rf</vt:lpstr>
      <vt:lpstr>txt_rf</vt:lpstr>
      <vt:lpstr>ekst_rf</vt:lpstr>
      <vt:lpstr>'0'!Druckbereich</vt:lpstr>
      <vt:lpstr>'1'!Druckbereich</vt:lpstr>
      <vt:lpstr>'10'!Druckbereich</vt:lpstr>
      <vt:lpstr>'11'!Druckbereich</vt:lpstr>
      <vt:lpstr>'12'!Druckbereich</vt:lpstr>
      <vt:lpstr>'13'!Druckbereich</vt:lpstr>
      <vt:lpstr>'14'!Druckbereich</vt:lpstr>
      <vt:lpstr>'15'!Druckbereich</vt:lpstr>
      <vt:lpstr>'2'!Druckbereich</vt:lpstr>
      <vt:lpstr>'3'!Druckbereich</vt:lpstr>
      <vt:lpstr>'4'!Druckbereich</vt:lpstr>
      <vt:lpstr>'5'!Druckbereich</vt:lpstr>
      <vt:lpstr>'6'!Druckbereich</vt:lpstr>
      <vt:lpstr>'7'!Druckbereich</vt:lpstr>
      <vt:lpstr>'8'!Druckbereich</vt:lpstr>
      <vt:lpstr>'9'!Druckbereich</vt:lpstr>
      <vt:lpstr>Bankgespräch!Druckbereich</vt:lpstr>
      <vt:lpstr>Cockpit!Druckbereich</vt:lpstr>
      <vt:lpstr>Deckblatt!Druckbereich</vt:lpstr>
      <vt:lpstr>Diagramme!Druckbereich</vt:lpstr>
      <vt:lpstr>Haushaltsrechnung!Druckbereich</vt:lpstr>
      <vt:lpstr>'Kennzahlen im Verlauf'!Druckbereich</vt:lpstr>
      <vt:lpstr>Konfiguration!Druckbereich</vt:lpstr>
      <vt:lpstr>'Roter Faden'!Druckbereich</vt:lpstr>
      <vt:lpstr>Vermögensaufstellung!Druckbereich</vt:lpstr>
      <vt:lpstr>'Kennzahlen im Verlauf'!Drucktitel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2024-11-05T17:39:13Z</dcterms:modified>
</cp:coreProperties>
</file>